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56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Budget vs. Actuals Jan26" sheetId="2" r:id="rId6"/>
    <sheet state="visible" name="TEAM RCD P&amp;L Jan26" sheetId="3" r:id="rId7"/>
    <sheet state="visible" name="RCD BalSheet Jan26" sheetId="4" r:id="rId8"/>
    <sheet state="visible" name="IECF Jan P&amp;L 26" sheetId="5" r:id="rId9"/>
    <sheet state="visible" name="NRCS P&amp;L Jan26" sheetId="6" r:id="rId10"/>
    <sheet state="visible" name="RCFC P&amp;L Jan26" sheetId="7" r:id="rId11"/>
    <sheet state="visible" name="WETA P&amp;L Jan26" sheetId="8" r:id="rId12"/>
    <sheet state="visible" name="Budget Overview 2526" sheetId="9" r:id="rId13"/>
    <sheet state="visible" name="Budget vs. Actuals Dec25" sheetId="10" r:id="rId14"/>
    <sheet state="visible" name="TeamRCD P&amp;L Dec25" sheetId="11" r:id="rId15"/>
    <sheet state="visible" name="TeamRCD BalSheet Dec25" sheetId="12" r:id="rId16"/>
    <sheet state="visible" name="IECF P&amp;L Dec25" sheetId="13" r:id="rId17"/>
    <sheet state="visible" name="NRCS P&amp;L Dec25" sheetId="14" r:id="rId18"/>
    <sheet state="visible" name="RCFC P&amp;L Dec25" sheetId="15" r:id="rId19"/>
    <sheet state="visible" name="WETA P&amp;L Dec25" sheetId="16" r:id="rId20"/>
    <sheet state="visible" name="TeamRCD AP Dec25" sheetId="17" r:id="rId21"/>
    <sheet state="visible" name="Budget vs. Actuals" sheetId="18" r:id="rId22"/>
    <sheet state="visible" name="RCD P&amp;L Nov25" sheetId="19" r:id="rId23"/>
    <sheet state="visible" name="RCD BalSheet Nov25" sheetId="20" r:id="rId24"/>
    <sheet state="visible" name="P&amp;L NRCS Nov25" sheetId="21" r:id="rId25"/>
    <sheet state="visible" name="P&amp;L RCFC Nov25" sheetId="22" r:id="rId26"/>
    <sheet state="visible" name="P&amp;L Weta Nov25" sheetId="23" r:id="rId27"/>
    <sheet state="visible" name="RCD AP Nov25" sheetId="24" r:id="rId28"/>
    <sheet state="visible" name="RCD AR Nov25" sheetId="25" r:id="rId29"/>
    <sheet state="hidden" name="Budget vs Actuals" sheetId="26" r:id="rId30"/>
    <sheet state="hidden" name="RCD P&amp;L Oct25" sheetId="27" r:id="rId31"/>
    <sheet state="hidden" name="RCD BalSheet Oct25" sheetId="28" r:id="rId32"/>
    <sheet state="hidden" name="RCD P&amp;L Class Oct 25" sheetId="29" r:id="rId33"/>
    <sheet state="hidden" name="A R Aging Summary" sheetId="30" r:id="rId34"/>
    <sheet state="hidden" name="A P Aging Detail" sheetId="31" r:id="rId35"/>
    <sheet state="hidden" name="P&amp;L NRCS Oct25" sheetId="32" r:id="rId36"/>
    <sheet state="hidden" name="P&amp;L RCFC Oct25" sheetId="33" r:id="rId37"/>
    <sheet state="hidden" name="P&amp;L WETA Oct25" sheetId="34" r:id="rId38"/>
    <sheet state="hidden" name="RCD P&amp;L 2425(FY)" sheetId="35" r:id="rId39"/>
    <sheet state="hidden" name="RCD BalSheet 2425(FY)" sheetId="36" r:id="rId40"/>
    <sheet state="hidden" name="P&amp;L (FY) Class 2425" sheetId="37" r:id="rId41"/>
    <sheet state="hidden" name="Team RCD FY P&amp;L 25" sheetId="38" r:id="rId42"/>
    <sheet state="hidden" name="RCD BalSheet Sept25" sheetId="39" r:id="rId43"/>
    <sheet state="hidden" name="P&amp;L Sept25 FY" sheetId="40" r:id="rId44"/>
    <sheet state="hidden" name="RCD P&amp;L ClassQtr (FY)" sheetId="41" r:id="rId45"/>
    <sheet state="hidden" name="AR Aging Summary" sheetId="42" r:id="rId46"/>
    <sheet state="hidden" name="AP Aging Summary" sheetId="43" r:id="rId47"/>
    <sheet state="hidden" name="P&amp;L NRCS Sept25" sheetId="44" r:id="rId48"/>
    <sheet state="hidden" name="P&amp;L RCFC Sept25" sheetId="45" r:id="rId49"/>
    <sheet state="hidden" name="P&amp;L Weta Sept25" sheetId="46" r:id="rId50"/>
    <sheet state="hidden" name="RCD P&amp;L Class Sept25" sheetId="47" r:id="rId51"/>
    <sheet state="hidden" name="RCD P&amp;L Aug25" sheetId="48" r:id="rId52"/>
    <sheet state="hidden" name="RCD BalSheet Aug25" sheetId="49" r:id="rId53"/>
    <sheet state="hidden" name="RCD P&amp;L Class Aug25" sheetId="50" r:id="rId54"/>
    <sheet state="hidden" name="RCD P&amp;L July25" sheetId="51" r:id="rId55"/>
    <sheet state="hidden" name="RCD BalSheet July25" sheetId="52" r:id="rId56"/>
    <sheet state="hidden" name="RCD P&amp;L Class July25" sheetId="53" r:id="rId57"/>
    <sheet state="hidden" name="RCD P&amp;L June25" sheetId="54" r:id="rId58"/>
    <sheet state="hidden" name="RCD BalSheet June25" sheetId="55" r:id="rId59"/>
    <sheet state="hidden" name="TEAM RCD P&amp;L Class June 25" sheetId="56" r:id="rId60"/>
  </sheets>
  <definedNames/>
  <calcPr/>
</workbook>
</file>

<file path=xl/sharedStrings.xml><?xml version="1.0" encoding="utf-8"?>
<sst xmlns="http://schemas.openxmlformats.org/spreadsheetml/2006/main" count="3194" uniqueCount="374">
  <si>
    <t>Summary</t>
  </si>
  <si>
    <t>FY 24/25 Results</t>
  </si>
  <si>
    <t>Total Income</t>
  </si>
  <si>
    <t>Total Expense</t>
  </si>
  <si>
    <t>Net Income</t>
  </si>
  <si>
    <t>FY 25/26</t>
  </si>
  <si>
    <t>Temecula-Elsinore-Anza-Murrieta Resource Conservation District</t>
  </si>
  <si>
    <t xml:space="preserve">Budget vs. Actuals: Budget_FY26_P&amp;L - FY26 P&amp;L </t>
  </si>
  <si>
    <t>July 2025 - January 2026</t>
  </si>
  <si>
    <t>Total</t>
  </si>
  <si>
    <t>Actual</t>
  </si>
  <si>
    <t>Budget</t>
  </si>
  <si>
    <t>over Budget</t>
  </si>
  <si>
    <t>% of Budget</t>
  </si>
  <si>
    <t>Income</t>
  </si>
  <si>
    <t xml:space="preserve">   IECF Grant</t>
  </si>
  <si>
    <t xml:space="preserve">   Investments</t>
  </si>
  <si>
    <t xml:space="preserve">      Interest Income</t>
  </si>
  <si>
    <t xml:space="preserve">   Total Investments</t>
  </si>
  <si>
    <t xml:space="preserve">   Other Types of Income</t>
  </si>
  <si>
    <t xml:space="preserve">      Miscellaneous Revenue</t>
  </si>
  <si>
    <t xml:space="preserve">   Total Other Types of Income</t>
  </si>
  <si>
    <t xml:space="preserve">   RCFC Pilot Projects</t>
  </si>
  <si>
    <t xml:space="preserve">      Access Road</t>
  </si>
  <si>
    <t xml:space="preserve">      Gunderson Pond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</si>
  <si>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</si>
  <si>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</si>
  <si>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</si>
  <si>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</si>
  <si>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 - Line F</t>
  </si>
  <si>
    <t xml:space="preserve">      Murrieta Creek-Temecula IIA</t>
  </si>
  <si>
    <t xml:space="preserve">      Palomar Corydon Channel</t>
  </si>
  <si>
    <t xml:space="preserve">      Planning &amp; Compliance</t>
  </si>
  <si>
    <t xml:space="preserve">      Project Development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</si>
  <si>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</si>
  <si>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</si>
  <si>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</si>
  <si>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</si>
  <si>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</si>
  <si>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</si>
  <si>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</si>
  <si>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 xml:space="preserve">   Service/Fee Income</t>
  </si>
  <si>
    <t xml:space="preserve">      Administrative Fees</t>
  </si>
  <si>
    <t xml:space="preserve">      Grant Revenue</t>
  </si>
  <si>
    <t xml:space="preserve">         Grant WETA</t>
  </si>
  <si>
    <t xml:space="preserve">         NRCS Cooperative Agreement</t>
  </si>
  <si>
    <t xml:space="preserve">         Outreach and Workshop Support</t>
  </si>
  <si>
    <t xml:space="preserve">         Program Promotion</t>
  </si>
  <si>
    <t xml:space="preserve">      Total Grant Revenue</t>
  </si>
  <si>
    <t xml:space="preserve">   Total Service/Fee Income</t>
  </si>
  <si>
    <t>Gross Profit</t>
  </si>
  <si>
    <t>Expenses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</si>
  <si>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</si>
  <si>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</si>
  <si>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</si>
  <si>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</si>
  <si>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</si>
  <si>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Administrative Consulting</t>
  </si>
  <si>
    <t xml:space="preserve">      Bank Fees</t>
  </si>
  <si>
    <t xml:space="preserve">      Books, Subscriptions, Reference</t>
  </si>
  <si>
    <t xml:space="preserve">      Computer, Data and Software</t>
  </si>
  <si>
    <t xml:space="preserve">      Insurance - Liability, D and O</t>
  </si>
  <si>
    <t xml:space="preserve">      Legal Fees</t>
  </si>
  <si>
    <t xml:space="preserve">      Membership Dues</t>
  </si>
  <si>
    <t xml:space="preserve">      Office Supplies</t>
  </si>
  <si>
    <t xml:space="preserve">      Postage, Mailing Service</t>
  </si>
  <si>
    <t xml:space="preserve">      Quickbooks-Accounting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</si>
  <si>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</si>
  <si>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</si>
  <si>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</si>
  <si>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</si>
  <si>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   Travel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</si>
  <si>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</si>
  <si>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</si>
  <si>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</si>
  <si>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License and Permit</t>
  </si>
  <si>
    <t xml:space="preserve">   SERVICE COSTS</t>
  </si>
  <si>
    <t xml:space="preserve">      Contract Services</t>
  </si>
  <si>
    <t xml:space="preserve">         RFC FACILITIES</t>
  </si>
  <si>
    <t xml:space="preserve">            A-PROJECT DEVELOPMENT AND ADMINISTRATION</t>
  </si>
  <si>
    <t xml:space="preserve">            ACCESS ROAD</t>
  </si>
  <si>
    <t xml:space="preserve">            GUNDERSEN POND</t>
  </si>
  <si>
    <t xml:space="preserve">            HELASH</t>
  </si>
  <si>
    <t xml:space="preserve">            HILDY</t>
  </si>
  <si>
    <t xml:space="preserve">            HOMELESS MONITORING</t>
  </si>
  <si>
    <t xml:space="preserve">            LAKE ELSINORE</t>
  </si>
  <si>
    <t xml:space="preserve">            MORGAN VALLEY WASH</t>
  </si>
  <si>
    <t xml:space="preserve">            MURRIETA CREEK LINE F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</si>
  <si>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</si>
  <si>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</si>
  <si>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</si>
  <si>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</si>
  <si>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</si>
  <si>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</si>
  <si>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</si>
  <si>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</si>
  <si>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FC - Annual Fee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</si>
  <si>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</si>
  <si>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</si>
  <si>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</si>
  <si>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Education Resources Contract</t>
  </si>
  <si>
    <t xml:space="preserve">            Irrigation Mobile Lab</t>
  </si>
  <si>
    <t xml:space="preserve">               Irrigation Evaluations</t>
  </si>
  <si>
    <t xml:space="preserve">               Pump Efficiency Tests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</si>
  <si>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</si>
  <si>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</si>
  <si>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</si>
  <si>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</si>
  <si>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</si>
  <si>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   Reimburseable Travel</t>
  </si>
  <si>
    <t xml:space="preserve">         Total Consultants and Contracts</t>
  </si>
  <si>
    <t xml:space="preserve">         Supplies, Equipment and Promotion</t>
  </si>
  <si>
    <t xml:space="preserve">      Total Grant Administration Expense</t>
  </si>
  <si>
    <t xml:space="preserve">   Total SERVICE COSTS</t>
  </si>
  <si>
    <t>Total Expenses</t>
  </si>
  <si>
    <t>Net Operating Income</t>
  </si>
  <si>
    <t>Monday, Feb 09, 2026 12:18:28 PM GMT-8 - Accrual Basis</t>
  </si>
  <si>
    <t>Profit and Loss by Class</t>
  </si>
  <si>
    <t>IECF-Home Hardening</t>
  </si>
  <si>
    <t>Management and General</t>
  </si>
  <si>
    <t>NRCS</t>
  </si>
  <si>
    <t>RCFC</t>
  </si>
  <si>
    <t>WETA</t>
  </si>
  <si>
    <t>Not Specified</t>
  </si>
  <si>
    <t>TOTAL</t>
  </si>
  <si>
    <t>Thursday, Feb 05, 2026 04:19:46 PM GMT-8 - Accrual Basis</t>
  </si>
  <si>
    <t>Balance Sheet</t>
  </si>
  <si>
    <t>As of January 31, 2026</t>
  </si>
  <si>
    <t>Restricted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</si>
  <si>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</si>
  <si>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</si>
  <si>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</si>
  <si>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</si>
  <si>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</si>
  <si>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 xml:space="preserve">            Chase CD - Greer Ranch</t>
  </si>
  <si>
    <t xml:space="preserve">            Chase CD Interest - 0618</t>
  </si>
  <si>
    <t xml:space="preserve">            Chase CD-4631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</si>
  <si>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</si>
  <si>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</si>
  <si>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</si>
  <si>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</si>
  <si>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</si>
  <si>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>Would you like this moved to an interest bearing account?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</si>
  <si>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</si>
  <si>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</si>
  <si>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</si>
  <si>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</si>
  <si>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</si>
  <si>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</si>
  <si>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</si>
  <si>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</si>
  <si>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</si>
  <si>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Grant Expenses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</si>
  <si>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</si>
  <si>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</si>
  <si>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</si>
  <si>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</si>
  <si>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</si>
  <si>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</si>
  <si>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</si>
  <si>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</si>
  <si>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</si>
  <si>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</si>
  <si>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</si>
  <si>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</si>
  <si>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</si>
  <si>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</si>
  <si>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</si>
  <si>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</si>
  <si>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</si>
  <si>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</si>
  <si>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</si>
  <si>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</si>
  <si>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</si>
  <si>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</si>
  <si>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AMEX 41005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</si>
  <si>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</si>
  <si>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</si>
  <si>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</si>
  <si>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</si>
  <si>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</si>
  <si>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</si>
  <si>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</si>
  <si>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</si>
  <si>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</si>
  <si>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</si>
  <si>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</si>
  <si>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</si>
  <si>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</si>
  <si>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</si>
  <si>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</si>
  <si>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Thursday, Feb 05, 2026 04:21:53 PM GMT-8 - Accrual Basis</t>
  </si>
  <si>
    <t xml:space="preserve">Grant amount </t>
  </si>
  <si>
    <t>Thursday, Feb 05, 2026 04:19:16 PM GMT-8 - Accrual Basis</t>
  </si>
  <si>
    <t>Thursday, Feb 05, 2026 04:20:06 PM GMT-8 - Accrual Basis</t>
  </si>
  <si>
    <t>Grant funded 25/26</t>
  </si>
  <si>
    <t>Thursday, Feb 05, 2026 04:20:36 PM GMT-8 - Accrual Basis</t>
  </si>
  <si>
    <t>Grant total: $354,000.00</t>
  </si>
  <si>
    <t>Through March of 2027</t>
  </si>
  <si>
    <t>Thursday, Feb 05, 2026 04:20:58 PM GMT-8 - Accrual Basis</t>
  </si>
  <si>
    <t xml:space="preserve">Budget Overview: Budget_FY26_P&amp;L - FY26 P&amp;L </t>
  </si>
  <si>
    <t>July 2025 - June 2026</t>
  </si>
  <si>
    <t>Thursday, Nov 06, 2025 01:54:03 PM GMT-8 - Accrual Basis</t>
  </si>
  <si>
    <t>July - December, 2025</t>
  </si>
  <si>
    <t>Wednesday, Jan 07, 2026 02:35:49 PM GMT-8 - Accrual Basis</t>
  </si>
  <si>
    <t>Wednesday, Jan 07, 2026 02:32:59 PM GMT-8 - Accrual Basis</t>
  </si>
  <si>
    <t>As of December 31, 2025</t>
  </si>
  <si>
    <t xml:space="preserve">Should be moved </t>
  </si>
  <si>
    <t>Wednesday, Jan 07, 2026 02:34:43 PM GMT-8 - Accrual Basis</t>
  </si>
  <si>
    <t>Wednesday, Jan 07, 2026 02:36:32 PM GMT-8 - Accrual Basis</t>
  </si>
  <si>
    <t>Grant Amount</t>
  </si>
  <si>
    <t>Wednesday, Jan 07, 2026 02:36:43 PM GMT-8 - Accrual Basis</t>
  </si>
  <si>
    <t>Wednesday, Jan 07, 2026 02:36:57 PM GMT-8 - Accrual Basis</t>
  </si>
  <si>
    <t>Wednesday, Jan 07, 2026 02:37:08 PM GMT-8 - Accrual Basis</t>
  </si>
  <si>
    <t>A/P Aging Detail</t>
  </si>
  <si>
    <t>As of January 7, 2026</t>
  </si>
  <si>
    <t>Date</t>
  </si>
  <si>
    <t>Transaction Type</t>
  </si>
  <si>
    <t>Num</t>
  </si>
  <si>
    <t>Vendor</t>
  </si>
  <si>
    <t>Due Date</t>
  </si>
  <si>
    <t>Past Due</t>
  </si>
  <si>
    <t>Amount</t>
  </si>
  <si>
    <t>Open Balance</t>
  </si>
  <si>
    <t>1 - 30 days past due</t>
  </si>
  <si>
    <t>12/31/2025</t>
  </si>
  <si>
    <t>Bill</t>
  </si>
  <si>
    <t>Dec25</t>
  </si>
  <si>
    <t>CARCD</t>
  </si>
  <si>
    <t>Total for 1 - 30 days past due</t>
  </si>
  <si>
    <t>Current</t>
  </si>
  <si>
    <t>01/01/2026</t>
  </si>
  <si>
    <t>D79E45E5-0044</t>
  </si>
  <si>
    <t>Streamline</t>
  </si>
  <si>
    <t>01/31/2026</t>
  </si>
  <si>
    <t>01/02/2026</t>
  </si>
  <si>
    <t>Mission Resource Conservation District</t>
  </si>
  <si>
    <t>02/01/2026</t>
  </si>
  <si>
    <t>Total for Current</t>
  </si>
  <si>
    <t>Wednesday, Jan 07, 2026 02:21:01 PM GMT-8</t>
  </si>
  <si>
    <t>July - November, 2025</t>
  </si>
  <si>
    <t xml:space="preserve">               Irrigation Evaluations (deleted)</t>
  </si>
  <si>
    <t>Thursday, Dec 11, 2025 02:02:58 PM GMT-8 - Accrual Basis</t>
  </si>
  <si>
    <t>Thursday, Dec 11, 2025 01:59:48 PM GMT-8 - Accrual Basis</t>
  </si>
  <si>
    <t>As of November 30, 2025</t>
  </si>
  <si>
    <t>Should be moved to a CD</t>
  </si>
  <si>
    <t>Wednesday, Dec 03, 2025 11:22:36 AM GMT-8 - Accrual Basis</t>
  </si>
  <si>
    <t>Thursday, Dec 11, 2025 02:00:36 PM GMT-8 - Accrual Basis</t>
  </si>
  <si>
    <t>Thursday, Dec 11, 2025 02:00:16 PM GMT-8 - Accrual Basis</t>
  </si>
  <si>
    <t>Thursday, Dec 11, 2025 02:01:17 PM GMT-8 - Accrual Basis</t>
  </si>
  <si>
    <t>11/10/2025</t>
  </si>
  <si>
    <t>Grace Dougan Consulting</t>
  </si>
  <si>
    <t>11/14/2025</t>
  </si>
  <si>
    <t>Riverside Office of County Counsel</t>
  </si>
  <si>
    <t>Wednesday, Dec 03, 2025 11:24:33 AM GMT-8</t>
  </si>
  <si>
    <t>A/R Aging Summary</t>
  </si>
  <si>
    <t>1 - 30</t>
  </si>
  <si>
    <t>31 - 60</t>
  </si>
  <si>
    <t>61 - 90</t>
  </si>
  <si>
    <t>91 and over</t>
  </si>
  <si>
    <t>Wednesday, Dec 03, 2025 11:23:16 AM GMT-8</t>
  </si>
  <si>
    <t>July - October, 2025</t>
  </si>
  <si>
    <t>Thursday, Nov 06, 2025 01:01:46 PM GMT-8 - Accrual Basis</t>
  </si>
  <si>
    <t>Profit and Loss by Month</t>
  </si>
  <si>
    <t>Jul 2025</t>
  </si>
  <si>
    <t>Aug 2025</t>
  </si>
  <si>
    <t>Sep 2025</t>
  </si>
  <si>
    <t>Oct 2025</t>
  </si>
  <si>
    <t xml:space="preserve">   Accrued Revenue</t>
  </si>
  <si>
    <t>Monday, Nov 10, 2025 05:07:55 PM GMT-8 - Accrual Basis</t>
  </si>
  <si>
    <t>As of October 31, 2025</t>
  </si>
  <si>
    <t>Should be moved to CD</t>
  </si>
  <si>
    <t>Wednesday, Nov 05, 2025 10:04:48 AM GMT-8 - Accrual Basis</t>
  </si>
  <si>
    <t>Monday, Nov 10, 2025 05:07:25 PM GMT-8 - Accrual Basis</t>
  </si>
  <si>
    <t>CDFA</t>
  </si>
  <si>
    <t xml:space="preserve">   WETA</t>
  </si>
  <si>
    <t>Total CDFA</t>
  </si>
  <si>
    <t>Wednesday, Nov 05, 2025 01:24:13 PM GMT-8</t>
  </si>
  <si>
    <t>31 - 60 days past due</t>
  </si>
  <si>
    <t>09/01/2025</t>
  </si>
  <si>
    <t>09/15/2025</t>
  </si>
  <si>
    <t>09/29/2025</t>
  </si>
  <si>
    <t>Total for 31 - 60 days past due</t>
  </si>
  <si>
    <t>10/27/2025</t>
  </si>
  <si>
    <t>10/31/2025</t>
  </si>
  <si>
    <t>Oct25</t>
  </si>
  <si>
    <t>10/12/2025</t>
  </si>
  <si>
    <t>CubeSmart</t>
  </si>
  <si>
    <t>11/02/2025</t>
  </si>
  <si>
    <t>10/01/2025</t>
  </si>
  <si>
    <t>California Special Districts Association</t>
  </si>
  <si>
    <t>Thursday, Nov 06, 2025 01:05:50 PM GMT-8</t>
  </si>
  <si>
    <t>Monday, Nov 10, 2025 05:15:44 PM GMT-8 - Accrual Basis</t>
  </si>
  <si>
    <t>Profit and Loss by Class-RCFC</t>
  </si>
  <si>
    <t>Grant funded 24/25</t>
  </si>
  <si>
    <t>Thursday, Nov 06, 2025 10:51:48 AM GMT-8 - Accrual Basis</t>
  </si>
  <si>
    <t>Profit and Loss by Class - WETA</t>
  </si>
  <si>
    <t>Thursday, Nov 06, 2025 10:51:08 AM GMT-8 - Accrual Basis</t>
  </si>
  <si>
    <t>Profit and Loss</t>
  </si>
  <si>
    <t>July 2024 - June 2025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</si>
  <si>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</si>
  <si>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</si>
  <si>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</si>
  <si>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</si>
  <si>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</si>
  <si>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</si>
  <si>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</si>
  <si>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</si>
  <si>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</si>
  <si>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</si>
  <si>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</si>
  <si>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</si>
  <si>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 xml:space="preserve">      Tucalota Creek Phase I &amp; II (deleted)</t>
  </si>
  <si>
    <t xml:space="preserve">      Tucalota Creek Phase III (deleted)</t>
  </si>
  <si>
    <t xml:space="preserve">      VV Channel (deleted)</t>
  </si>
  <si>
    <t xml:space="preserve">      Printing and Copying</t>
  </si>
  <si>
    <t xml:space="preserve">         Area Meeting</t>
  </si>
  <si>
    <t xml:space="preserve">            MURRIETA CREEK-TEMECULA PHASE IIA</t>
  </si>
  <si>
    <t xml:space="preserve">            TUCALOTA CREEK 3 (deleted)</t>
  </si>
  <si>
    <t xml:space="preserve">            TUCALOTA CREEK I &amp; II (deleted)</t>
  </si>
  <si>
    <t xml:space="preserve">            VV CHANNEL (deleted)</t>
  </si>
  <si>
    <t xml:space="preserve">            Supplies</t>
  </si>
  <si>
    <t xml:space="preserve">         Program Administration</t>
  </si>
  <si>
    <t>Tuesday, Nov 11, 2025 08:09:02 AM GMT-8 - Accrual Basis</t>
  </si>
  <si>
    <t>As of June 30, 2025</t>
  </si>
  <si>
    <t>Tuesday, Nov 11, 2025 08:10:59 AM GMT-8 - Accrual Basis</t>
  </si>
  <si>
    <t>NACD - Cultivating Inclusion</t>
  </si>
  <si>
    <t>Tuesday, Nov 11, 2025 08:09:53 AM GMT-8 - Accrual Basis</t>
  </si>
  <si>
    <t>July - September, 2025</t>
  </si>
  <si>
    <t>Tuesday, Oct 07, 2025 01:13:41 PM GMT-7 - Accrual Basis</t>
  </si>
  <si>
    <t>Restricted funds</t>
  </si>
  <si>
    <t>As of September 30, 2025</t>
  </si>
  <si>
    <t>Tuesday, Oct 07, 2025 01:20:09 PM GMT-7 - Accrual Basis</t>
  </si>
  <si>
    <t>Tuesday, Oct 07, 2025 03:40:49 PM GMT-7 - Accrual Basis</t>
  </si>
  <si>
    <t>Tuesday, Oct 07, 2025 01:16:47 PM GMT-7 - Accrual Basis</t>
  </si>
  <si>
    <t xml:space="preserve">   WETA 2024-2025</t>
  </si>
  <si>
    <t>Thursday, Oct 02, 2025 02:45:43 PM GMT-7</t>
  </si>
  <si>
    <t>A/P Aging Summary</t>
  </si>
  <si>
    <t>Microsoft</t>
  </si>
  <si>
    <t>Nigro and Nigro</t>
  </si>
  <si>
    <t>Thursday, Oct 02, 2025 02:46:18 PM GMT-7</t>
  </si>
  <si>
    <t>Profit and Loss NRCS</t>
  </si>
  <si>
    <t>July 2024 - September 2025</t>
  </si>
  <si>
    <t>Tuesday, Oct 07, 2025 02:19:14 PM GMT-7 - Accrual Basis</t>
  </si>
  <si>
    <t>Profit and Loss RCFC</t>
  </si>
  <si>
    <t xml:space="preserve">      Tucalota Creek Phase I &amp; II</t>
  </si>
  <si>
    <t xml:space="preserve">      Tucalota Creek Phase III</t>
  </si>
  <si>
    <t xml:space="preserve">      VV Channel</t>
  </si>
  <si>
    <t xml:space="preserve">            TUCALOTA CREEK 3</t>
  </si>
  <si>
    <t xml:space="preserve">            TUCALOTA CREEK I &amp; II</t>
  </si>
  <si>
    <t xml:space="preserve">            VV CHANNEL</t>
  </si>
  <si>
    <t>Tuesday, Oct 07, 2025 02:22:07 PM GMT-7 - Accrual Basis</t>
  </si>
  <si>
    <t>Profit and Loss Weta</t>
  </si>
  <si>
    <t>January 2024 - September 2025</t>
  </si>
  <si>
    <t>Through March of 2026</t>
  </si>
  <si>
    <t xml:space="preserve">Kit time for Qtr 3 is included </t>
  </si>
  <si>
    <t>Tuesday, Oct 07, 2025 02:16:43 PM GMT-7 - Accrual Basis</t>
  </si>
  <si>
    <t>Thursday, Oct 02, 2025 04:16:38 PM GMT-7 - Accrual Basis</t>
  </si>
  <si>
    <t>August 2025</t>
  </si>
  <si>
    <t>Thursday, Sep 11, 2025 01:34:09 PM GMT-7 - Accrual Basis</t>
  </si>
  <si>
    <t>As of August 31, 2025</t>
  </si>
  <si>
    <t>Thursday, Sep 11, 2025 01:35:29 PM GMT-7 - Accrual Basis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</si>
  <si>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</si>
  <si>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</si>
  <si>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</si>
  <si>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</si>
  <si>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</si>
  <si>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</si>
  <si>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</si>
  <si>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</si>
  <si>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</si>
  <si>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>Thursday, Sep 11, 2025 01:26:44 PM GMT-7 - Accrual Basis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</si>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</sst>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* #,##0.00\ _€"/>
    <numFmt numFmtId="165" formatCode="#,##0.00\ _€"/>
    <numFmt numFmtId="166" formatCode="_(&quot;$&quot;* #,##0.00_);_(&quot;$&quot;* \(#,##0.00\);_(&quot;$&quot;* &quot;-&quot;??_);_(@_)"/>
    <numFmt numFmtId="167" formatCode="&quot;$&quot;#,##0.00"/>
  </numFmts>
  <fonts count="16">
    <font>
      <sz val="10.0"/>
      <color rgb="FF000000"/>
      <name val="Arial"/>
      <scheme val="minor"/>
    </font>
    <font>
      <b/>
      <i/>
      <color theme="1"/>
      <name val="Arial"/>
      <scheme val="minor"/>
    </font>
    <font>
      <color theme="1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8.0"/>
      <color theme="1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/>
    <font>
      <sz val="8.0"/>
      <color rgb="FF000000"/>
      <name val="Arial"/>
    </font>
    <font>
      <b/>
      <sz val="8.0"/>
      <color rgb="FFFF0000"/>
      <name val="Arial"/>
    </font>
    <font>
      <b/>
      <color theme="1"/>
      <name val="Arial"/>
      <scheme val="minor"/>
    </font>
    <font>
      <b/>
      <i/>
      <sz val="10.0"/>
      <color rgb="FF000000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164" xfId="0" applyAlignment="1" applyFont="1" applyNumberFormat="1">
      <alignment horizontal="right" readingOrder="0" shrinkToFit="0" wrapText="1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horizontal="right" shrinkToFit="0" wrapText="1"/>
    </xf>
    <xf borderId="0" fillId="0" fontId="5" numFmtId="164" xfId="0" applyFont="1" applyNumberFormat="1"/>
    <xf borderId="0" fillId="0" fontId="6" numFmtId="0" xfId="0" applyAlignment="1" applyFon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0" fillId="0" fontId="8" numFmtId="0" xfId="0" applyAlignment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1" fillId="0" fontId="10" numFmtId="0" xfId="0" applyBorder="1" applyFont="1"/>
    <xf borderId="0" fillId="0" fontId="3" numFmtId="0" xfId="0" applyAlignment="1" applyFont="1">
      <alignment horizontal="left" shrinkToFit="0" wrapText="1"/>
    </xf>
    <xf borderId="0" fillId="0" fontId="11" numFmtId="165" xfId="0" applyAlignment="1" applyFont="1" applyNumberFormat="1">
      <alignment shrinkToFit="0" wrapText="1"/>
    </xf>
    <xf borderId="0" fillId="0" fontId="11" numFmtId="165" xfId="0" applyAlignment="1" applyFont="1" applyNumberFormat="1">
      <alignment horizontal="right" shrinkToFit="0" wrapText="1"/>
    </xf>
    <xf borderId="0" fillId="0" fontId="11" numFmtId="10" xfId="0" applyAlignment="1" applyFont="1" applyNumberFormat="1">
      <alignment horizontal="right" shrinkToFit="0" wrapText="1"/>
    </xf>
    <xf borderId="2" fillId="0" fontId="3" numFmtId="164" xfId="0" applyAlignment="1" applyBorder="1" applyFont="1" applyNumberFormat="1">
      <alignment horizontal="right" shrinkToFit="0" wrapText="1"/>
    </xf>
    <xf borderId="2" fillId="0" fontId="3" numFmtId="10" xfId="0" applyAlignment="1" applyBorder="1" applyFont="1" applyNumberFormat="1">
      <alignment horizontal="right" shrinkToFit="0" wrapText="1"/>
    </xf>
    <xf borderId="0" fillId="0" fontId="11" numFmtId="0" xfId="0" applyAlignment="1" applyFont="1">
      <alignment horizontal="center" shrinkToFit="0" wrapText="0"/>
    </xf>
    <xf borderId="2" fillId="0" fontId="12" numFmtId="166" xfId="0" applyAlignment="1" applyBorder="1" applyFont="1" applyNumberFormat="1">
      <alignment horizontal="right" shrinkToFit="0" wrapText="1"/>
    </xf>
    <xf borderId="0" fillId="2" fontId="4" numFmtId="0" xfId="0" applyFill="1" applyFont="1"/>
    <xf borderId="0" fillId="3" fontId="11" numFmtId="165" xfId="0" applyAlignment="1" applyFill="1" applyFont="1" applyNumberFormat="1">
      <alignment horizontal="right" shrinkToFit="0" wrapText="1"/>
    </xf>
    <xf borderId="0" fillId="0" fontId="4" numFmtId="0" xfId="0" applyAlignment="1" applyFont="1">
      <alignment horizontal="center" readingOrder="0"/>
    </xf>
    <xf borderId="0" fillId="0" fontId="13" numFmtId="167" xfId="0" applyAlignment="1" applyFont="1" applyNumberFormat="1">
      <alignment horizontal="center" readingOrder="0"/>
    </xf>
    <xf borderId="0" fillId="0" fontId="13" numFmtId="0" xfId="0" applyAlignment="1" applyFont="1">
      <alignment readingOrder="0"/>
    </xf>
    <xf borderId="0" fillId="0" fontId="7" numFmtId="0" xfId="0" applyAlignment="1" applyFont="1">
      <alignment horizontal="center" readingOrder="0" shrinkToFit="0" wrapText="0"/>
    </xf>
    <xf borderId="2" fillId="3" fontId="3" numFmtId="164" xfId="0" applyAlignment="1" applyBorder="1" applyFont="1" applyNumberFormat="1">
      <alignment horizontal="right" shrinkToFit="0" wrapText="1"/>
    </xf>
    <xf borderId="2" fillId="3" fontId="12" numFmtId="166" xfId="0" applyAlignment="1" applyBorder="1" applyFont="1" applyNumberFormat="1">
      <alignment horizontal="right" shrinkToFit="0" wrapText="1"/>
    </xf>
    <xf borderId="2" fillId="4" fontId="3" numFmtId="164" xfId="0" applyAlignment="1" applyBorder="1" applyFill="1" applyFont="1" applyNumberFormat="1">
      <alignment horizontal="right" shrinkToFit="0" wrapText="1"/>
    </xf>
    <xf borderId="0" fillId="0" fontId="14" numFmtId="0" xfId="0" applyAlignment="1" applyFont="1">
      <alignment horizontal="center" readingOrder="0" shrinkToFit="0" wrapText="0"/>
    </xf>
    <xf borderId="0" fillId="0" fontId="1" numFmtId="167" xfId="0" applyAlignment="1" applyFont="1" applyNumberFormat="1">
      <alignment readingOrder="0"/>
    </xf>
    <xf borderId="2" fillId="4" fontId="12" numFmtId="166" xfId="0" applyAlignment="1" applyBorder="1" applyFont="1" applyNumberFormat="1">
      <alignment horizontal="right" shrinkToFit="0" wrapText="1"/>
    </xf>
    <xf borderId="0" fillId="0" fontId="4" numFmtId="167" xfId="0" applyAlignment="1" applyFont="1" applyNumberFormat="1">
      <alignment readingOrder="0"/>
    </xf>
    <xf borderId="0" fillId="0" fontId="11" numFmtId="0" xfId="0" applyAlignment="1" applyFont="1">
      <alignment horizontal="left" shrinkToFit="0" wrapText="1"/>
    </xf>
    <xf borderId="0" fillId="0" fontId="11" numFmtId="0" xfId="0" applyAlignment="1" applyFont="1">
      <alignment horizontal="right" shrinkToFit="0" wrapText="1"/>
    </xf>
    <xf borderId="0" fillId="5" fontId="3" numFmtId="0" xfId="0" applyAlignment="1" applyFill="1" applyFont="1">
      <alignment horizontal="left" shrinkToFit="0" wrapText="1"/>
    </xf>
    <xf borderId="2" fillId="5" fontId="3" numFmtId="164" xfId="0" applyAlignment="1" applyBorder="1" applyFont="1" applyNumberFormat="1">
      <alignment horizontal="right" shrinkToFit="0" wrapText="1"/>
    </xf>
    <xf borderId="2" fillId="5" fontId="12" numFmtId="166" xfId="0" applyAlignment="1" applyBorder="1" applyFont="1" applyNumberFormat="1">
      <alignment horizontal="right" shrinkToFit="0" wrapText="1"/>
    </xf>
    <xf borderId="0" fillId="3" fontId="4" numFmtId="0" xfId="0" applyFont="1"/>
    <xf borderId="0" fillId="3" fontId="3" numFmtId="0" xfId="0" applyAlignment="1" applyFont="1">
      <alignment horizontal="left" shrinkToFit="0" wrapText="1"/>
    </xf>
    <xf borderId="0" fillId="0" fontId="6" numFmtId="0" xfId="0" applyAlignment="1" applyFont="1">
      <alignment horizontal="center" readingOrder="0" shrinkToFit="0" wrapText="0"/>
    </xf>
    <xf borderId="0" fillId="3" fontId="5" numFmtId="0" xfId="0" applyAlignment="1" applyFont="1">
      <alignment horizontal="left" shrinkToFit="0" wrapText="1"/>
    </xf>
    <xf borderId="2" fillId="3" fontId="5" numFmtId="164" xfId="0" applyAlignment="1" applyBorder="1" applyFont="1" applyNumberFormat="1">
      <alignment horizontal="right" shrinkToFit="0" wrapText="1"/>
    </xf>
    <xf borderId="0" fillId="2" fontId="3" numFmtId="0" xfId="0" applyAlignment="1" applyFont="1">
      <alignment horizontal="left" shrinkToFit="0" wrapText="1"/>
    </xf>
    <xf borderId="2" fillId="2" fontId="3" numFmtId="164" xfId="0" applyAlignment="1" applyBorder="1" applyFont="1" applyNumberFormat="1">
      <alignment horizontal="right" shrinkToFit="0" wrapText="1"/>
    </xf>
    <xf borderId="2" fillId="2" fontId="12" numFmtId="166" xfId="0" applyAlignment="1" applyBorder="1" applyFont="1" applyNumberFormat="1">
      <alignment horizontal="right" shrinkToFit="0" wrapText="1"/>
    </xf>
    <xf borderId="0" fillId="0" fontId="12" numFmtId="166" xfId="0" applyAlignment="1" applyFont="1" applyNumberFormat="1">
      <alignment horizontal="right" shrinkToFit="0" wrapText="1"/>
    </xf>
    <xf borderId="0" fillId="3" fontId="15" numFmtId="165" xfId="0" applyAlignment="1" applyFont="1" applyNumberFormat="1">
      <alignment horizontal="right" shrinkToFit="0" wrapText="1"/>
    </xf>
    <xf borderId="0" fillId="0" fontId="9" numFmtId="0" xfId="0" applyAlignment="1" applyFont="1">
      <alignment horizontal="center" shrinkToFit="0" wrapText="1"/>
    </xf>
    <xf borderId="0" fillId="0" fontId="12" numFmtId="164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6.xml"/><Relationship Id="rId42" Type="http://schemas.openxmlformats.org/officeDocument/2006/relationships/worksheet" Target="worksheets/sheet38.xml"/><Relationship Id="rId41" Type="http://schemas.openxmlformats.org/officeDocument/2006/relationships/worksheet" Target="worksheets/sheet37.xml"/><Relationship Id="rId44" Type="http://schemas.openxmlformats.org/officeDocument/2006/relationships/worksheet" Target="worksheets/sheet40.xml"/><Relationship Id="rId43" Type="http://schemas.openxmlformats.org/officeDocument/2006/relationships/worksheet" Target="worksheets/sheet39.xml"/><Relationship Id="rId46" Type="http://schemas.openxmlformats.org/officeDocument/2006/relationships/worksheet" Target="worksheets/sheet42.xml"/><Relationship Id="rId45" Type="http://schemas.openxmlformats.org/officeDocument/2006/relationships/worksheet" Target="worksheets/sheet4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48" Type="http://schemas.openxmlformats.org/officeDocument/2006/relationships/worksheet" Target="worksheets/sheet44.xml"/><Relationship Id="rId47" Type="http://schemas.openxmlformats.org/officeDocument/2006/relationships/worksheet" Target="worksheets/sheet43.xml"/><Relationship Id="rId49" Type="http://schemas.openxmlformats.org/officeDocument/2006/relationships/worksheet" Target="worksheets/sheet4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33" Type="http://schemas.openxmlformats.org/officeDocument/2006/relationships/worksheet" Target="worksheets/sheet29.xml"/><Relationship Id="rId32" Type="http://schemas.openxmlformats.org/officeDocument/2006/relationships/worksheet" Target="worksheets/sheet28.xml"/><Relationship Id="rId35" Type="http://schemas.openxmlformats.org/officeDocument/2006/relationships/worksheet" Target="worksheets/sheet31.xml"/><Relationship Id="rId34" Type="http://schemas.openxmlformats.org/officeDocument/2006/relationships/worksheet" Target="worksheets/sheet30.xml"/><Relationship Id="rId37" Type="http://schemas.openxmlformats.org/officeDocument/2006/relationships/worksheet" Target="worksheets/sheet33.xml"/><Relationship Id="rId36" Type="http://schemas.openxmlformats.org/officeDocument/2006/relationships/worksheet" Target="worksheets/sheet32.xml"/><Relationship Id="rId39" Type="http://schemas.openxmlformats.org/officeDocument/2006/relationships/worksheet" Target="worksheets/sheet35.xml"/><Relationship Id="rId38" Type="http://schemas.openxmlformats.org/officeDocument/2006/relationships/worksheet" Target="worksheets/sheet34.xml"/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60" Type="http://schemas.openxmlformats.org/officeDocument/2006/relationships/worksheet" Target="worksheets/sheet56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29" Type="http://schemas.openxmlformats.org/officeDocument/2006/relationships/worksheet" Target="worksheets/sheet25.xml"/><Relationship Id="rId51" Type="http://schemas.openxmlformats.org/officeDocument/2006/relationships/worksheet" Target="worksheets/sheet47.xml"/><Relationship Id="rId50" Type="http://schemas.openxmlformats.org/officeDocument/2006/relationships/worksheet" Target="worksheets/sheet46.xml"/><Relationship Id="rId53" Type="http://schemas.openxmlformats.org/officeDocument/2006/relationships/worksheet" Target="worksheets/sheet49.xml"/><Relationship Id="rId52" Type="http://schemas.openxmlformats.org/officeDocument/2006/relationships/worksheet" Target="worksheets/sheet48.xml"/><Relationship Id="rId11" Type="http://schemas.openxmlformats.org/officeDocument/2006/relationships/worksheet" Target="worksheets/sheet7.xml"/><Relationship Id="rId55" Type="http://schemas.openxmlformats.org/officeDocument/2006/relationships/worksheet" Target="worksheets/sheet51.xml"/><Relationship Id="rId10" Type="http://schemas.openxmlformats.org/officeDocument/2006/relationships/worksheet" Target="worksheets/sheet6.xml"/><Relationship Id="rId54" Type="http://schemas.openxmlformats.org/officeDocument/2006/relationships/worksheet" Target="worksheets/sheet50.xml"/><Relationship Id="rId13" Type="http://schemas.openxmlformats.org/officeDocument/2006/relationships/worksheet" Target="worksheets/sheet9.xml"/><Relationship Id="rId57" Type="http://schemas.openxmlformats.org/officeDocument/2006/relationships/worksheet" Target="worksheets/sheet53.xml"/><Relationship Id="rId12" Type="http://schemas.openxmlformats.org/officeDocument/2006/relationships/worksheet" Target="worksheets/sheet8.xml"/><Relationship Id="rId56" Type="http://schemas.openxmlformats.org/officeDocument/2006/relationships/worksheet" Target="worksheets/sheet52.xml"/><Relationship Id="rId15" Type="http://schemas.openxmlformats.org/officeDocument/2006/relationships/worksheet" Target="worksheets/sheet11.xml"/><Relationship Id="rId59" Type="http://schemas.openxmlformats.org/officeDocument/2006/relationships/worksheet" Target="worksheets/sheet55.xml"/><Relationship Id="rId14" Type="http://schemas.openxmlformats.org/officeDocument/2006/relationships/worksheet" Target="worksheets/sheet10.xml"/><Relationship Id="rId58" Type="http://schemas.openxmlformats.org/officeDocument/2006/relationships/worksheet" Target="worksheets/sheet54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2" t="s">
        <v>2</v>
      </c>
      <c r="B5" s="4">
        <v>393727.4</v>
      </c>
    </row>
    <row r="6">
      <c r="A6" s="2" t="s">
        <v>3</v>
      </c>
      <c r="B6" s="4">
        <v>349265.95</v>
      </c>
    </row>
    <row r="7">
      <c r="A7" s="2" t="s">
        <v>4</v>
      </c>
      <c r="B7" s="4">
        <v>44461.45</v>
      </c>
    </row>
    <row r="8">
      <c r="A8" s="3"/>
    </row>
    <row r="10">
      <c r="A10" s="5" t="s">
        <v>5</v>
      </c>
    </row>
    <row r="11">
      <c r="A11" s="5" t="s">
        <v>2</v>
      </c>
      <c r="B11" s="6">
        <v>230674.01999999996</v>
      </c>
    </row>
    <row r="12">
      <c r="A12" s="5" t="s">
        <v>3</v>
      </c>
      <c r="B12" s="6">
        <v>117007.66</v>
      </c>
    </row>
    <row r="13">
      <c r="A13" s="5" t="s">
        <v>4</v>
      </c>
      <c r="B13" s="7">
        <v>113666.36</v>
      </c>
    </row>
    <row r="15">
      <c r="A15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203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17">
        <f t="shared" ref="B11:C11" si="3">(B9)+(B10)</f>
        <v>-896.54</v>
      </c>
      <c r="C11" s="17">
        <f t="shared" si="3"/>
        <v>13600</v>
      </c>
      <c r="D11" s="17">
        <f t="shared" si="1"/>
        <v>-14496.54</v>
      </c>
      <c r="E11" s="18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17">
        <f t="shared" ref="B14:C14" si="4">(B12)+(B13)</f>
        <v>0</v>
      </c>
      <c r="C14" s="17">
        <f t="shared" si="4"/>
        <v>0</v>
      </c>
      <c r="D14" s="17">
        <f t="shared" si="1"/>
        <v>0</v>
      </c>
      <c r="E14" s="18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24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25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26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27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28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29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30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31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32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33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34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35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36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37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38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39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40</v>
      </c>
      <c r="B33" s="17">
        <f t="shared" ref="B33:C33" si="8">(((((((((((((((((B15)+(B16))+(B17))+(B18))+(B19))+(B20))+(B21))+(B22))+(B23))+(B24))+(B25))+(B26))+(B27))+(B28))+(B29))+(B30))+(B31))+(B32)</f>
        <v>119026.11</v>
      </c>
      <c r="C33" s="17">
        <f t="shared" si="8"/>
        <v>238603</v>
      </c>
      <c r="D33" s="17">
        <f t="shared" si="1"/>
        <v>-119576.89</v>
      </c>
      <c r="E33" s="18">
        <f t="shared" si="2"/>
        <v>0.4988458234</v>
      </c>
    </row>
    <row r="34">
      <c r="A34" s="13" t="s">
        <v>41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42</v>
      </c>
      <c r="B35" s="15">
        <f>3757.88</f>
        <v>3757.88</v>
      </c>
      <c r="C35" s="14"/>
      <c r="D35" s="15">
        <f t="shared" si="1"/>
        <v>3757.88</v>
      </c>
      <c r="E35" s="16" t="str">
        <f t="shared" si="2"/>
        <v/>
      </c>
    </row>
    <row r="36">
      <c r="A36" s="13" t="s">
        <v>43</v>
      </c>
      <c r="B36" s="15">
        <f>10243.58</f>
        <v>10243.58</v>
      </c>
      <c r="C36" s="14"/>
      <c r="D36" s="15">
        <f t="shared" si="1"/>
        <v>10243.58</v>
      </c>
      <c r="E36" s="16" t="str">
        <f t="shared" si="2"/>
        <v/>
      </c>
    </row>
    <row r="37">
      <c r="A37" s="13" t="s">
        <v>44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45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46</v>
      </c>
      <c r="B39" s="15">
        <f>2665.14</f>
        <v>2665.14</v>
      </c>
      <c r="C39" s="14"/>
      <c r="D39" s="15">
        <f t="shared" si="1"/>
        <v>2665.14</v>
      </c>
      <c r="E39" s="16" t="str">
        <f t="shared" si="2"/>
        <v/>
      </c>
    </row>
    <row r="40">
      <c r="A40" s="13" t="s">
        <v>47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48</v>
      </c>
      <c r="B41" s="17">
        <f t="shared" ref="B41:C41" si="9">((((B36)+(B37))+(B38))+(B39))+(B40)</f>
        <v>39705.79</v>
      </c>
      <c r="C41" s="17">
        <f t="shared" si="9"/>
        <v>163573</v>
      </c>
      <c r="D41" s="17">
        <f t="shared" si="1"/>
        <v>-123867.21</v>
      </c>
      <c r="E41" s="18">
        <f t="shared" si="2"/>
        <v>0.242740489</v>
      </c>
    </row>
    <row r="42">
      <c r="A42" s="13" t="s">
        <v>49</v>
      </c>
      <c r="B42" s="17">
        <f t="shared" ref="B42:C42" si="10">((B34)+(B35))+(B41)</f>
        <v>43463.67</v>
      </c>
      <c r="C42" s="17">
        <f t="shared" si="10"/>
        <v>163573</v>
      </c>
      <c r="D42" s="17">
        <f t="shared" si="1"/>
        <v>-120109.33</v>
      </c>
      <c r="E42" s="18">
        <f t="shared" si="2"/>
        <v>0.2657142071</v>
      </c>
    </row>
    <row r="43">
      <c r="A43" s="13" t="s">
        <v>2</v>
      </c>
      <c r="B43" s="17">
        <f t="shared" ref="B43:C43" si="11">((((B8)+(B11))+(B14))+(B33))+(B42)</f>
        <v>211583.24</v>
      </c>
      <c r="C43" s="17">
        <f t="shared" si="11"/>
        <v>415776</v>
      </c>
      <c r="D43" s="17">
        <f t="shared" si="1"/>
        <v>-204192.76</v>
      </c>
      <c r="E43" s="18">
        <f t="shared" si="2"/>
        <v>0.5088875741</v>
      </c>
    </row>
    <row r="44">
      <c r="A44" s="13" t="s">
        <v>50</v>
      </c>
      <c r="B44" s="17">
        <f t="shared" ref="B44:C44" si="12">(B43)-(0)</f>
        <v>211583.24</v>
      </c>
      <c r="C44" s="17">
        <f t="shared" si="12"/>
        <v>415776</v>
      </c>
      <c r="D44" s="17">
        <f t="shared" si="1"/>
        <v>-204192.76</v>
      </c>
      <c r="E44" s="18">
        <f t="shared" si="2"/>
        <v>0.5088875741</v>
      </c>
    </row>
    <row r="45">
      <c r="A45" s="13" t="s">
        <v>51</v>
      </c>
      <c r="B45" s="14"/>
      <c r="C45" s="14"/>
      <c r="D45" s="14"/>
      <c r="E45" s="14"/>
    </row>
    <row r="46">
      <c r="A46" s="13" t="s">
        <v>52</v>
      </c>
      <c r="B46" s="14"/>
      <c r="C46" s="14"/>
      <c r="D46" s="15">
        <f t="shared" ref="D46:D109" si="13">(B46)-(C46)</f>
        <v>0</v>
      </c>
      <c r="E46" s="16" t="str">
        <f t="shared" ref="E46:E109" si="14">IF(C46=0,"",(B46)/(C46))</f>
        <v/>
      </c>
    </row>
    <row r="47">
      <c r="A47" s="13" t="s">
        <v>53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54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55</v>
      </c>
      <c r="B49" s="15">
        <f>6422</f>
        <v>6422</v>
      </c>
      <c r="C49" s="15">
        <f>18000</f>
        <v>18000</v>
      </c>
      <c r="D49" s="15">
        <f t="shared" si="13"/>
        <v>-11578</v>
      </c>
      <c r="E49" s="16">
        <f t="shared" si="14"/>
        <v>0.3567777778</v>
      </c>
    </row>
    <row r="50">
      <c r="A50" s="13" t="s">
        <v>56</v>
      </c>
      <c r="B50" s="17">
        <f t="shared" ref="B50:C50" si="16">((B47)+(B48))+(B49)</f>
        <v>9422</v>
      </c>
      <c r="C50" s="17">
        <f t="shared" si="16"/>
        <v>21000</v>
      </c>
      <c r="D50" s="17">
        <f t="shared" si="13"/>
        <v>-11578</v>
      </c>
      <c r="E50" s="18">
        <f t="shared" si="14"/>
        <v>0.4486666667</v>
      </c>
    </row>
    <row r="51">
      <c r="A51" s="13" t="s">
        <v>57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58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59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60</v>
      </c>
      <c r="B54" s="15">
        <f>181.99</f>
        <v>181.99</v>
      </c>
      <c r="C54" s="15">
        <f>6400</f>
        <v>6400</v>
      </c>
      <c r="D54" s="15">
        <f t="shared" si="13"/>
        <v>-6218.01</v>
      </c>
      <c r="E54" s="16">
        <f t="shared" si="14"/>
        <v>0.0284359375</v>
      </c>
    </row>
    <row r="55">
      <c r="A55" s="13" t="s">
        <v>61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62</v>
      </c>
      <c r="B56" s="15">
        <f>1730.02</f>
        <v>1730.02</v>
      </c>
      <c r="C56" s="15">
        <f>15600</f>
        <v>15600</v>
      </c>
      <c r="D56" s="15">
        <f t="shared" si="13"/>
        <v>-13869.98</v>
      </c>
      <c r="E56" s="16">
        <f t="shared" si="14"/>
        <v>0.1108987179</v>
      </c>
    </row>
    <row r="57">
      <c r="A57" s="13" t="s">
        <v>63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64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65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66</v>
      </c>
      <c r="B60" s="15">
        <f>1356.73</f>
        <v>1356.73</v>
      </c>
      <c r="C60" s="14"/>
      <c r="D60" s="15">
        <f t="shared" si="13"/>
        <v>1356.73</v>
      </c>
      <c r="E60" s="16" t="str">
        <f t="shared" si="14"/>
        <v/>
      </c>
    </row>
    <row r="61">
      <c r="A61" s="13" t="s">
        <v>67</v>
      </c>
      <c r="B61" s="15">
        <f>486.24</f>
        <v>486.24</v>
      </c>
      <c r="C61" s="15">
        <f>1251</f>
        <v>1251</v>
      </c>
      <c r="D61" s="15">
        <f t="shared" si="13"/>
        <v>-764.76</v>
      </c>
      <c r="E61" s="16">
        <f t="shared" si="14"/>
        <v>0.3886810552</v>
      </c>
    </row>
    <row r="62">
      <c r="A62" s="13" t="s">
        <v>68</v>
      </c>
      <c r="B62" s="15">
        <f>108</f>
        <v>108</v>
      </c>
      <c r="C62" s="15">
        <f>240</f>
        <v>240</v>
      </c>
      <c r="D62" s="15">
        <f t="shared" si="13"/>
        <v>-132</v>
      </c>
      <c r="E62" s="16">
        <f t="shared" si="14"/>
        <v>0.45</v>
      </c>
    </row>
    <row r="63">
      <c r="A63" s="13" t="s">
        <v>69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70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71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72</v>
      </c>
      <c r="B66" s="17">
        <f t="shared" ref="B66:C66" si="17">((B63)+(B64))+(B65)</f>
        <v>1484.67</v>
      </c>
      <c r="C66" s="17">
        <f t="shared" si="17"/>
        <v>1000</v>
      </c>
      <c r="D66" s="17">
        <f t="shared" si="13"/>
        <v>484.67</v>
      </c>
      <c r="E66" s="18">
        <f t="shared" si="14"/>
        <v>1.48467</v>
      </c>
    </row>
    <row r="67">
      <c r="A67" s="13" t="s">
        <v>73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74</v>
      </c>
      <c r="B68" s="17">
        <f t="shared" ref="B68:C68" si="18">(((((((((((((((B46)+(B50))+(B51))+(B52))+(B53))+(B54))+(B55))+(B56))+(B57))+(B58))+(B59))+(B60))+(B61))+(B62))+(B66))+(B67)</f>
        <v>20190.84</v>
      </c>
      <c r="C68" s="17">
        <f t="shared" si="18"/>
        <v>57191</v>
      </c>
      <c r="D68" s="17">
        <f t="shared" si="13"/>
        <v>-37000.16</v>
      </c>
      <c r="E68" s="18">
        <f t="shared" si="14"/>
        <v>0.3530422619</v>
      </c>
    </row>
    <row r="69">
      <c r="A69" s="13" t="s">
        <v>75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76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77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78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79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80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81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82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83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84</v>
      </c>
      <c r="B78" s="15">
        <f>2439.26</f>
        <v>2439.26</v>
      </c>
      <c r="C78" s="15">
        <f>31558</f>
        <v>31558</v>
      </c>
      <c r="D78" s="15">
        <f t="shared" si="13"/>
        <v>-29118.74</v>
      </c>
      <c r="E78" s="16">
        <f t="shared" si="14"/>
        <v>0.07729450536</v>
      </c>
    </row>
    <row r="79">
      <c r="A79" s="13" t="s">
        <v>86</v>
      </c>
      <c r="B79" s="14"/>
      <c r="C79" s="15">
        <f>4334</f>
        <v>4334</v>
      </c>
      <c r="D79" s="15">
        <f t="shared" si="13"/>
        <v>-4334</v>
      </c>
      <c r="E79" s="16">
        <f t="shared" si="14"/>
        <v>0</v>
      </c>
    </row>
    <row r="80">
      <c r="A80" s="13" t="s">
        <v>87</v>
      </c>
      <c r="B80" s="14"/>
      <c r="C80" s="15">
        <f>4313</f>
        <v>4313</v>
      </c>
      <c r="D80" s="15">
        <f t="shared" si="13"/>
        <v>-4313</v>
      </c>
      <c r="E80" s="16">
        <f t="shared" si="14"/>
        <v>0</v>
      </c>
    </row>
    <row r="81">
      <c r="A81" s="13" t="s">
        <v>88</v>
      </c>
      <c r="B81" s="14"/>
      <c r="C81" s="15">
        <f>4317</f>
        <v>4317</v>
      </c>
      <c r="D81" s="15">
        <f t="shared" si="13"/>
        <v>-4317</v>
      </c>
      <c r="E81" s="16">
        <f t="shared" si="14"/>
        <v>0</v>
      </c>
    </row>
    <row r="82">
      <c r="A82" s="13" t="s">
        <v>89</v>
      </c>
      <c r="B82" s="15">
        <f>410.15</f>
        <v>410.15</v>
      </c>
      <c r="C82" s="15">
        <f t="shared" ref="C82:C83" si="19">16282</f>
        <v>16282</v>
      </c>
      <c r="D82" s="15">
        <f t="shared" si="13"/>
        <v>-15871.85</v>
      </c>
      <c r="E82" s="16">
        <f t="shared" si="14"/>
        <v>0.0251903943</v>
      </c>
    </row>
    <row r="83">
      <c r="A83" s="13" t="s">
        <v>90</v>
      </c>
      <c r="B83" s="15">
        <f>451.17</f>
        <v>451.17</v>
      </c>
      <c r="C83" s="15">
        <f t="shared" si="19"/>
        <v>16282</v>
      </c>
      <c r="D83" s="15">
        <f t="shared" si="13"/>
        <v>-15830.83</v>
      </c>
      <c r="E83" s="16">
        <f t="shared" si="14"/>
        <v>0.02770974082</v>
      </c>
    </row>
    <row r="84">
      <c r="A84" s="13" t="s">
        <v>91</v>
      </c>
      <c r="B84" s="14"/>
      <c r="C84" s="15">
        <f>8150</f>
        <v>8150</v>
      </c>
      <c r="D84" s="15">
        <f t="shared" si="13"/>
        <v>-8150</v>
      </c>
      <c r="E84" s="16">
        <f t="shared" si="14"/>
        <v>0</v>
      </c>
    </row>
    <row r="85">
      <c r="A85" s="13" t="s">
        <v>92</v>
      </c>
      <c r="B85" s="14"/>
      <c r="C85" s="15">
        <f>8154</f>
        <v>8154</v>
      </c>
      <c r="D85" s="15">
        <f t="shared" si="13"/>
        <v>-8154</v>
      </c>
      <c r="E85" s="16">
        <f t="shared" si="14"/>
        <v>0</v>
      </c>
    </row>
    <row r="86">
      <c r="A86" s="13" t="s">
        <v>93</v>
      </c>
      <c r="B86" s="14"/>
      <c r="C86" s="15">
        <f>4318</f>
        <v>4318</v>
      </c>
      <c r="D86" s="15">
        <f t="shared" si="13"/>
        <v>-4318</v>
      </c>
      <c r="E86" s="16">
        <f t="shared" si="14"/>
        <v>0</v>
      </c>
    </row>
    <row r="87">
      <c r="A87" s="13" t="s">
        <v>94</v>
      </c>
      <c r="B87" s="17">
        <f t="shared" ref="B87:C87" si="20">((((((((((((((B72)+(B73))+(B74))+(B75))+(B76))+(B77))+(B78))+(B79))+(B80))+(B81))+(B82))+(B83))+(B84))+(B85))+(B86)</f>
        <v>4951.18</v>
      </c>
      <c r="C87" s="17">
        <f t="shared" si="20"/>
        <v>142345</v>
      </c>
      <c r="D87" s="17">
        <f t="shared" si="13"/>
        <v>-137393.82</v>
      </c>
      <c r="E87" s="18">
        <f t="shared" si="14"/>
        <v>0.0347829569</v>
      </c>
    </row>
    <row r="88">
      <c r="A88" s="13" t="s">
        <v>95</v>
      </c>
      <c r="B88" s="17">
        <f t="shared" ref="B88:C88" si="21">(B71)+(B87)</f>
        <v>4951.18</v>
      </c>
      <c r="C88" s="17">
        <f t="shared" si="21"/>
        <v>142345</v>
      </c>
      <c r="D88" s="17">
        <f t="shared" si="13"/>
        <v>-137393.82</v>
      </c>
      <c r="E88" s="18">
        <f t="shared" si="14"/>
        <v>0.0347829569</v>
      </c>
    </row>
    <row r="89">
      <c r="A89" s="13" t="s">
        <v>96</v>
      </c>
      <c r="B89" s="14"/>
      <c r="C89" s="15">
        <f>5895</f>
        <v>5895</v>
      </c>
      <c r="D89" s="15">
        <f t="shared" si="13"/>
        <v>-5895</v>
      </c>
      <c r="E89" s="16">
        <f t="shared" si="14"/>
        <v>0</v>
      </c>
    </row>
    <row r="90">
      <c r="A90" s="13" t="s">
        <v>97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98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99</v>
      </c>
      <c r="B92" s="15">
        <f>42216.6</f>
        <v>42216.6</v>
      </c>
      <c r="C92" s="15">
        <f>100000</f>
        <v>100000</v>
      </c>
      <c r="D92" s="15">
        <f t="shared" si="13"/>
        <v>-57783.4</v>
      </c>
      <c r="E92" s="16">
        <f t="shared" si="14"/>
        <v>0.422166</v>
      </c>
    </row>
    <row r="93">
      <c r="A93" s="13" t="s">
        <v>100</v>
      </c>
      <c r="B93" s="14"/>
      <c r="C93" s="15">
        <f>36703</f>
        <v>36703</v>
      </c>
      <c r="D93" s="15">
        <f t="shared" si="13"/>
        <v>-36703</v>
      </c>
      <c r="E93" s="16">
        <f t="shared" si="14"/>
        <v>0</v>
      </c>
    </row>
    <row r="94">
      <c r="A94" s="13" t="s">
        <v>101</v>
      </c>
      <c r="B94" s="14"/>
      <c r="C94" s="14"/>
      <c r="D94" s="15">
        <f t="shared" si="13"/>
        <v>0</v>
      </c>
      <c r="E94" s="16" t="str">
        <f t="shared" si="14"/>
        <v/>
      </c>
    </row>
    <row r="95">
      <c r="A95" s="13" t="s">
        <v>102</v>
      </c>
      <c r="B95" s="15">
        <f>5122.45</f>
        <v>5122.45</v>
      </c>
      <c r="C95" s="14"/>
      <c r="D95" s="15">
        <f t="shared" si="13"/>
        <v>5122.45</v>
      </c>
      <c r="E95" s="16" t="str">
        <f t="shared" si="14"/>
        <v/>
      </c>
    </row>
    <row r="96">
      <c r="A96" s="13" t="s">
        <v>103</v>
      </c>
      <c r="B96" s="15">
        <f>2000</f>
        <v>2000</v>
      </c>
      <c r="C96" s="14"/>
      <c r="D96" s="15">
        <f t="shared" si="13"/>
        <v>2000</v>
      </c>
      <c r="E96" s="16" t="str">
        <f t="shared" si="14"/>
        <v/>
      </c>
    </row>
    <row r="97">
      <c r="A97" s="13" t="s">
        <v>104</v>
      </c>
      <c r="B97" s="15">
        <f>462.51</f>
        <v>462.51</v>
      </c>
      <c r="C97" s="14"/>
      <c r="D97" s="15">
        <f t="shared" si="13"/>
        <v>462.51</v>
      </c>
      <c r="E97" s="16" t="str">
        <f t="shared" si="14"/>
        <v/>
      </c>
    </row>
    <row r="98">
      <c r="A98" s="13" t="s">
        <v>105</v>
      </c>
      <c r="B98" s="17">
        <f t="shared" ref="B98:C98" si="22">(((B94)+(B95))+(B96))+(B97)</f>
        <v>7584.96</v>
      </c>
      <c r="C98" s="17">
        <f t="shared" si="22"/>
        <v>0</v>
      </c>
      <c r="D98" s="17">
        <f t="shared" si="13"/>
        <v>7584.96</v>
      </c>
      <c r="E98" s="18" t="str">
        <f t="shared" si="14"/>
        <v/>
      </c>
    </row>
    <row r="99">
      <c r="A99" s="13" t="s">
        <v>106</v>
      </c>
      <c r="B99" s="15">
        <f>550</f>
        <v>550</v>
      </c>
      <c r="C99" s="14"/>
      <c r="D99" s="15">
        <f t="shared" si="13"/>
        <v>550</v>
      </c>
      <c r="E99" s="16" t="str">
        <f t="shared" si="14"/>
        <v/>
      </c>
    </row>
    <row r="100">
      <c r="A100" s="13" t="s">
        <v>107</v>
      </c>
      <c r="B100" s="15">
        <f>14446.84</f>
        <v>14446.84</v>
      </c>
      <c r="C100" s="14"/>
      <c r="D100" s="15">
        <f t="shared" si="13"/>
        <v>14446.84</v>
      </c>
      <c r="E100" s="16" t="str">
        <f t="shared" si="14"/>
        <v/>
      </c>
    </row>
    <row r="101">
      <c r="A101" s="13" t="s">
        <v>108</v>
      </c>
      <c r="B101" s="15">
        <f>1766.25</f>
        <v>1766.25</v>
      </c>
      <c r="C101" s="14"/>
      <c r="D101" s="15">
        <f t="shared" si="13"/>
        <v>1766.25</v>
      </c>
      <c r="E101" s="16" t="str">
        <f t="shared" si="14"/>
        <v/>
      </c>
    </row>
    <row r="102">
      <c r="A102" s="13" t="s">
        <v>109</v>
      </c>
      <c r="B102" s="15">
        <f>840.7</f>
        <v>840.7</v>
      </c>
      <c r="C102" s="14"/>
      <c r="D102" s="15">
        <f t="shared" si="13"/>
        <v>840.7</v>
      </c>
      <c r="E102" s="16" t="str">
        <f t="shared" si="14"/>
        <v/>
      </c>
    </row>
    <row r="103">
      <c r="A103" s="13" t="s">
        <v>110</v>
      </c>
      <c r="B103" s="17">
        <f t="shared" ref="B103:C103" si="23">(((((((B91)+(B92))+(B93))+(B98))+(B99))+(B100))+(B101))+(B102)</f>
        <v>67405.35</v>
      </c>
      <c r="C103" s="17">
        <f t="shared" si="23"/>
        <v>136703</v>
      </c>
      <c r="D103" s="17">
        <f t="shared" si="13"/>
        <v>-69297.65</v>
      </c>
      <c r="E103" s="18">
        <f t="shared" si="14"/>
        <v>0.4930787912</v>
      </c>
    </row>
    <row r="104">
      <c r="A104" s="13" t="s">
        <v>111</v>
      </c>
      <c r="B104" s="15">
        <f>517.22</f>
        <v>517.22</v>
      </c>
      <c r="C104" s="14"/>
      <c r="D104" s="15">
        <f t="shared" si="13"/>
        <v>517.22</v>
      </c>
      <c r="E104" s="16" t="str">
        <f t="shared" si="14"/>
        <v/>
      </c>
    </row>
    <row r="105">
      <c r="A105" s="13" t="s">
        <v>112</v>
      </c>
      <c r="B105" s="17">
        <f t="shared" ref="B105:C105" si="24">((B90)+(B103))+(B104)</f>
        <v>67922.57</v>
      </c>
      <c r="C105" s="17">
        <f t="shared" si="24"/>
        <v>136703</v>
      </c>
      <c r="D105" s="17">
        <f t="shared" si="13"/>
        <v>-68780.43</v>
      </c>
      <c r="E105" s="18">
        <f t="shared" si="14"/>
        <v>0.496862322</v>
      </c>
    </row>
    <row r="106">
      <c r="A106" s="13" t="s">
        <v>113</v>
      </c>
      <c r="B106" s="17">
        <f t="shared" ref="B106:C106" si="25">(((B70)+(B88))+(B89))+(B105)</f>
        <v>72873.75</v>
      </c>
      <c r="C106" s="17">
        <f t="shared" si="25"/>
        <v>284943</v>
      </c>
      <c r="D106" s="17">
        <f t="shared" si="13"/>
        <v>-212069.25</v>
      </c>
      <c r="E106" s="18">
        <f t="shared" si="14"/>
        <v>0.2557485181</v>
      </c>
    </row>
    <row r="107">
      <c r="A107" s="13" t="s">
        <v>114</v>
      </c>
      <c r="B107" s="17">
        <f t="shared" ref="B107:C107" si="26">((B68)+(B69))+(B106)</f>
        <v>93253.32</v>
      </c>
      <c r="C107" s="17">
        <f t="shared" si="26"/>
        <v>342134</v>
      </c>
      <c r="D107" s="17">
        <f t="shared" si="13"/>
        <v>-248880.68</v>
      </c>
      <c r="E107" s="18">
        <f t="shared" si="14"/>
        <v>0.2725637323</v>
      </c>
    </row>
    <row r="108">
      <c r="A108" s="13" t="s">
        <v>115</v>
      </c>
      <c r="B108" s="17">
        <f t="shared" ref="B108:C108" si="27">(B44)-(B107)</f>
        <v>118329.92</v>
      </c>
      <c r="C108" s="17">
        <f t="shared" si="27"/>
        <v>73642</v>
      </c>
      <c r="D108" s="17">
        <f t="shared" si="13"/>
        <v>44687.92</v>
      </c>
      <c r="E108" s="18">
        <f t="shared" si="14"/>
        <v>1.606826539</v>
      </c>
    </row>
    <row r="109">
      <c r="A109" s="13" t="s">
        <v>4</v>
      </c>
      <c r="B109" s="17">
        <f t="shared" ref="B109:C109" si="28">(B108)+(0)</f>
        <v>118329.92</v>
      </c>
      <c r="C109" s="17">
        <f t="shared" si="28"/>
        <v>73642</v>
      </c>
      <c r="D109" s="17">
        <f t="shared" si="13"/>
        <v>44687.92</v>
      </c>
      <c r="E109" s="18">
        <f t="shared" si="14"/>
        <v>1.606826539</v>
      </c>
    </row>
    <row r="110">
      <c r="A110" s="13"/>
      <c r="B110" s="14"/>
      <c r="C110" s="14"/>
      <c r="D110" s="14"/>
      <c r="E110" s="14"/>
    </row>
    <row r="111"/>
    <row r="112"/>
    <row r="113">
      <c r="A113" s="19" t="s">
        <v>204</v>
      </c>
    </row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3:E11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117</v>
      </c>
    </row>
    <row r="3">
      <c r="A3" s="9" t="s">
        <v>203</v>
      </c>
    </row>
    <row r="5">
      <c r="A5" s="10"/>
      <c r="B5" s="11" t="s">
        <v>118</v>
      </c>
      <c r="C5" s="11" t="s">
        <v>119</v>
      </c>
      <c r="D5" s="11" t="s">
        <v>120</v>
      </c>
      <c r="E5" s="11" t="s">
        <v>121</v>
      </c>
      <c r="F5" s="11" t="s">
        <v>122</v>
      </c>
      <c r="G5" s="11" t="s">
        <v>123</v>
      </c>
      <c r="H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17">
        <f t="shared" ref="B10:G10" si="2">(B8)+(B9)</f>
        <v>0</v>
      </c>
      <c r="C10" s="17">
        <f t="shared" si="2"/>
        <v>-896.54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17">
        <f t="shared" ref="B13:G13" si="3">(B11)+(B12)</f>
        <v>0</v>
      </c>
      <c r="C13" s="17">
        <f t="shared" si="3"/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3"/>
        <v>0</v>
      </c>
      <c r="H13" s="1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25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26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27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28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29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31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32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33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34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35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36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37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38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39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40</v>
      </c>
      <c r="B29" s="17">
        <f t="shared" ref="B29:G29" si="6">((((((((((((((B14)+(B15))+(B16))+(B17))+(B18))+(B19))+(B20))+(B21))+(B22))+(B23))+(B24))+(B25))+(B26))+(B27))+(B28)</f>
        <v>0</v>
      </c>
      <c r="C29" s="17">
        <f t="shared" si="6"/>
        <v>0</v>
      </c>
      <c r="D29" s="17">
        <f t="shared" si="6"/>
        <v>0</v>
      </c>
      <c r="E29" s="17">
        <f t="shared" si="6"/>
        <v>119026.11</v>
      </c>
      <c r="F29" s="17">
        <f t="shared" si="6"/>
        <v>0</v>
      </c>
      <c r="G29" s="17">
        <f t="shared" si="6"/>
        <v>0</v>
      </c>
      <c r="H29" s="17">
        <f t="shared" si="1"/>
        <v>119026.11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42</v>
      </c>
      <c r="B31" s="14"/>
      <c r="C31" s="14"/>
      <c r="D31" s="15">
        <f>3757.88</f>
        <v>3757.88</v>
      </c>
      <c r="E31" s="14"/>
      <c r="F31" s="14"/>
      <c r="G31" s="14"/>
      <c r="H31" s="15">
        <f t="shared" si="1"/>
        <v>3757.88</v>
      </c>
    </row>
    <row r="32">
      <c r="A32" s="13" t="s">
        <v>43</v>
      </c>
      <c r="B32" s="14"/>
      <c r="C32" s="14"/>
      <c r="D32" s="15">
        <f>10243.58</f>
        <v>10243.58</v>
      </c>
      <c r="E32" s="14"/>
      <c r="F32" s="14"/>
      <c r="G32" s="14"/>
      <c r="H32" s="15">
        <f t="shared" si="1"/>
        <v>10243.58</v>
      </c>
    </row>
    <row r="33">
      <c r="A33" s="13" t="s">
        <v>44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46</v>
      </c>
      <c r="B34" s="14"/>
      <c r="C34" s="14"/>
      <c r="D34" s="15">
        <f>2665.14</f>
        <v>2665.14</v>
      </c>
      <c r="E34" s="14"/>
      <c r="F34" s="14"/>
      <c r="G34" s="14"/>
      <c r="H34" s="15">
        <f t="shared" si="1"/>
        <v>2665.14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48</v>
      </c>
      <c r="B36" s="17">
        <f t="shared" ref="B36:G36" si="7">(((B32)+(B33))+(B34))+(B35)</f>
        <v>0</v>
      </c>
      <c r="C36" s="17">
        <f t="shared" si="7"/>
        <v>0</v>
      </c>
      <c r="D36" s="17">
        <f t="shared" si="7"/>
        <v>13807.43</v>
      </c>
      <c r="E36" s="17">
        <f t="shared" si="7"/>
        <v>0</v>
      </c>
      <c r="F36" s="17">
        <f t="shared" si="7"/>
        <v>25898.36</v>
      </c>
      <c r="G36" s="17">
        <f t="shared" si="7"/>
        <v>0</v>
      </c>
      <c r="H36" s="17">
        <f t="shared" si="1"/>
        <v>39705.79</v>
      </c>
    </row>
    <row r="37">
      <c r="A37" s="13" t="s">
        <v>49</v>
      </c>
      <c r="B37" s="17">
        <f t="shared" ref="B37:G37" si="8">((B30)+(B31))+(B36)</f>
        <v>0</v>
      </c>
      <c r="C37" s="17">
        <f t="shared" si="8"/>
        <v>0</v>
      </c>
      <c r="D37" s="17">
        <f t="shared" si="8"/>
        <v>17565.31</v>
      </c>
      <c r="E37" s="17">
        <f t="shared" si="8"/>
        <v>0</v>
      </c>
      <c r="F37" s="17">
        <f t="shared" si="8"/>
        <v>25898.36</v>
      </c>
      <c r="G37" s="17">
        <f t="shared" si="8"/>
        <v>0</v>
      </c>
      <c r="H37" s="17">
        <f t="shared" si="1"/>
        <v>43463.67</v>
      </c>
    </row>
    <row r="38">
      <c r="A38" s="13" t="s">
        <v>2</v>
      </c>
      <c r="B38" s="17">
        <f t="shared" ref="B38:G38" si="9">((((B7)+(B10))+(B13))+(B29))+(B37)</f>
        <v>49990</v>
      </c>
      <c r="C38" s="17">
        <f t="shared" si="9"/>
        <v>-896.54</v>
      </c>
      <c r="D38" s="17">
        <f t="shared" si="9"/>
        <v>17565.31</v>
      </c>
      <c r="E38" s="17">
        <f t="shared" si="9"/>
        <v>119026.11</v>
      </c>
      <c r="F38" s="17">
        <f t="shared" si="9"/>
        <v>25898.36</v>
      </c>
      <c r="G38" s="17">
        <f t="shared" si="9"/>
        <v>0</v>
      </c>
      <c r="H38" s="17">
        <f t="shared" si="1"/>
        <v>211583.24</v>
      </c>
    </row>
    <row r="39">
      <c r="A39" s="13" t="s">
        <v>50</v>
      </c>
      <c r="B39" s="27">
        <f t="shared" ref="B39:G39" si="10">(B38)-(0)</f>
        <v>49990</v>
      </c>
      <c r="C39" s="27">
        <f t="shared" si="10"/>
        <v>-896.54</v>
      </c>
      <c r="D39" s="27">
        <f t="shared" si="10"/>
        <v>17565.31</v>
      </c>
      <c r="E39" s="27">
        <f t="shared" si="10"/>
        <v>119026.11</v>
      </c>
      <c r="F39" s="27">
        <f t="shared" si="10"/>
        <v>25898.36</v>
      </c>
      <c r="G39" s="27">
        <f t="shared" si="10"/>
        <v>0</v>
      </c>
      <c r="H39" s="27">
        <f t="shared" si="1"/>
        <v>211583.24</v>
      </c>
    </row>
    <row r="40">
      <c r="A40" s="13" t="s">
        <v>51</v>
      </c>
      <c r="B40" s="14"/>
      <c r="C40" s="14"/>
      <c r="D40" s="14"/>
      <c r="E40" s="14"/>
      <c r="F40" s="14"/>
      <c r="G40" s="14"/>
      <c r="H40" s="14"/>
    </row>
    <row r="41">
      <c r="A41" s="13" t="s">
        <v>52</v>
      </c>
      <c r="B41" s="14"/>
      <c r="C41" s="14"/>
      <c r="D41" s="14"/>
      <c r="E41" s="14"/>
      <c r="F41" s="14"/>
      <c r="G41" s="14"/>
      <c r="H41" s="15">
        <f t="shared" ref="H41:H89" si="11">(((((B41)+(C41))+(D41))+(E41))+(F41))+(G41)</f>
        <v>0</v>
      </c>
    </row>
    <row r="42">
      <c r="A42" s="13" t="s">
        <v>53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54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55</v>
      </c>
      <c r="B44" s="14"/>
      <c r="C44" s="15">
        <f>5430.75</f>
        <v>5430.75</v>
      </c>
      <c r="D44" s="15">
        <f>991.25</f>
        <v>991.25</v>
      </c>
      <c r="E44" s="14"/>
      <c r="F44" s="14"/>
      <c r="G44" s="14"/>
      <c r="H44" s="15">
        <f t="shared" si="11"/>
        <v>6422</v>
      </c>
    </row>
    <row r="45">
      <c r="A45" s="13" t="s">
        <v>56</v>
      </c>
      <c r="B45" s="17">
        <f t="shared" ref="B45:G45" si="12">((B42)+(B43))+(B44)</f>
        <v>0</v>
      </c>
      <c r="C45" s="17">
        <f t="shared" si="12"/>
        <v>8430.75</v>
      </c>
      <c r="D45" s="17">
        <f t="shared" si="12"/>
        <v>991.25</v>
      </c>
      <c r="E45" s="17">
        <f t="shared" si="12"/>
        <v>0</v>
      </c>
      <c r="F45" s="17">
        <f t="shared" si="12"/>
        <v>0</v>
      </c>
      <c r="G45" s="17">
        <f t="shared" si="12"/>
        <v>0</v>
      </c>
      <c r="H45" s="17">
        <f t="shared" si="11"/>
        <v>9422</v>
      </c>
    </row>
    <row r="46">
      <c r="A46" s="13" t="s">
        <v>57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58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60</v>
      </c>
      <c r="B48" s="14"/>
      <c r="C48" s="15">
        <f>181.99</f>
        <v>181.99</v>
      </c>
      <c r="D48" s="14"/>
      <c r="E48" s="14"/>
      <c r="F48" s="14"/>
      <c r="G48" s="14"/>
      <c r="H48" s="15">
        <f t="shared" si="11"/>
        <v>181.99</v>
      </c>
    </row>
    <row r="49">
      <c r="A49" s="13" t="s">
        <v>61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62</v>
      </c>
      <c r="B50" s="14"/>
      <c r="C50" s="15">
        <f>1730.02</f>
        <v>1730.02</v>
      </c>
      <c r="D50" s="14"/>
      <c r="E50" s="14"/>
      <c r="F50" s="14"/>
      <c r="G50" s="14"/>
      <c r="H50" s="15">
        <f t="shared" si="11"/>
        <v>1730.02</v>
      </c>
    </row>
    <row r="51">
      <c r="A51" s="13" t="s">
        <v>63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65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66</v>
      </c>
      <c r="B53" s="14"/>
      <c r="C53" s="15">
        <f>1081.73</f>
        <v>1081.73</v>
      </c>
      <c r="D53" s="15">
        <f>275</f>
        <v>275</v>
      </c>
      <c r="E53" s="14"/>
      <c r="F53" s="14"/>
      <c r="G53" s="14"/>
      <c r="H53" s="15">
        <f t="shared" si="11"/>
        <v>1356.73</v>
      </c>
    </row>
    <row r="54">
      <c r="A54" s="13" t="s">
        <v>67</v>
      </c>
      <c r="B54" s="14"/>
      <c r="C54" s="15">
        <f>486.24</f>
        <v>486.24</v>
      </c>
      <c r="D54" s="14"/>
      <c r="E54" s="14"/>
      <c r="F54" s="14"/>
      <c r="G54" s="14"/>
      <c r="H54" s="15">
        <f t="shared" si="11"/>
        <v>486.24</v>
      </c>
    </row>
    <row r="55">
      <c r="A55" s="13" t="s">
        <v>68</v>
      </c>
      <c r="B55" s="14"/>
      <c r="C55" s="15">
        <f>88</f>
        <v>88</v>
      </c>
      <c r="D55" s="15">
        <f>20</f>
        <v>20</v>
      </c>
      <c r="E55" s="14"/>
      <c r="F55" s="14"/>
      <c r="G55" s="14"/>
      <c r="H55" s="15">
        <f t="shared" si="11"/>
        <v>108</v>
      </c>
    </row>
    <row r="56">
      <c r="A56" s="13" t="s">
        <v>69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70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71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72</v>
      </c>
      <c r="B59" s="17">
        <f t="shared" ref="B59:G59" si="13">((B56)+(B57))+(B58)</f>
        <v>0</v>
      </c>
      <c r="C59" s="17">
        <f t="shared" si="13"/>
        <v>1484.67</v>
      </c>
      <c r="D59" s="17">
        <f t="shared" si="13"/>
        <v>0</v>
      </c>
      <c r="E59" s="17">
        <f t="shared" si="13"/>
        <v>0</v>
      </c>
      <c r="F59" s="17">
        <f t="shared" si="13"/>
        <v>0</v>
      </c>
      <c r="G59" s="17">
        <f t="shared" si="13"/>
        <v>0</v>
      </c>
      <c r="H59" s="17">
        <f t="shared" si="11"/>
        <v>1484.67</v>
      </c>
    </row>
    <row r="60">
      <c r="A60" s="13" t="s">
        <v>73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74</v>
      </c>
      <c r="B61" s="17">
        <f t="shared" ref="B61:G61" si="14">(((((((((((((B41)+(B45))+(B46))+(B47))+(B48))+(B49))+(B50))+(B51))+(B52))+(B53))+(B54))+(B55))+(B59))+(B60)</f>
        <v>0</v>
      </c>
      <c r="C61" s="17">
        <f t="shared" si="14"/>
        <v>18904.59</v>
      </c>
      <c r="D61" s="17">
        <f t="shared" si="14"/>
        <v>1286.25</v>
      </c>
      <c r="E61" s="17">
        <f t="shared" si="14"/>
        <v>0</v>
      </c>
      <c r="F61" s="17">
        <f t="shared" si="14"/>
        <v>0</v>
      </c>
      <c r="G61" s="17">
        <f t="shared" si="14"/>
        <v>0</v>
      </c>
      <c r="H61" s="17">
        <f t="shared" si="11"/>
        <v>20190.84</v>
      </c>
    </row>
    <row r="62">
      <c r="A62" s="13" t="s">
        <v>75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76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77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78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84</v>
      </c>
      <c r="B66" s="14"/>
      <c r="C66" s="14"/>
      <c r="D66" s="14"/>
      <c r="E66" s="15">
        <f>2439.26</f>
        <v>2439.26</v>
      </c>
      <c r="F66" s="14"/>
      <c r="G66" s="14"/>
      <c r="H66" s="15">
        <f t="shared" si="11"/>
        <v>2439.26</v>
      </c>
    </row>
    <row r="67">
      <c r="A67" s="13" t="s">
        <v>89</v>
      </c>
      <c r="B67" s="14"/>
      <c r="C67" s="14"/>
      <c r="D67" s="14"/>
      <c r="E67" s="15">
        <f>410.15</f>
        <v>410.15</v>
      </c>
      <c r="F67" s="14"/>
      <c r="G67" s="14"/>
      <c r="H67" s="15">
        <f t="shared" si="11"/>
        <v>410.15</v>
      </c>
    </row>
    <row r="68">
      <c r="A68" s="13" t="s">
        <v>90</v>
      </c>
      <c r="B68" s="14"/>
      <c r="C68" s="14"/>
      <c r="D68" s="14"/>
      <c r="E68" s="15">
        <f>451.17</f>
        <v>451.17</v>
      </c>
      <c r="F68" s="14"/>
      <c r="G68" s="14"/>
      <c r="H68" s="15">
        <f t="shared" si="11"/>
        <v>451.17</v>
      </c>
    </row>
    <row r="69">
      <c r="A69" s="13" t="s">
        <v>94</v>
      </c>
      <c r="B69" s="17">
        <f t="shared" ref="B69:G69" si="15">(((B65)+(B66))+(B67))+(B68)</f>
        <v>0</v>
      </c>
      <c r="C69" s="17">
        <f t="shared" si="15"/>
        <v>0</v>
      </c>
      <c r="D69" s="17">
        <f t="shared" si="15"/>
        <v>0</v>
      </c>
      <c r="E69" s="17">
        <f t="shared" si="15"/>
        <v>4951.18</v>
      </c>
      <c r="F69" s="17">
        <f t="shared" si="15"/>
        <v>0</v>
      </c>
      <c r="G69" s="17">
        <f t="shared" si="15"/>
        <v>0</v>
      </c>
      <c r="H69" s="17">
        <f t="shared" si="11"/>
        <v>4951.18</v>
      </c>
    </row>
    <row r="70">
      <c r="A70" s="13" t="s">
        <v>95</v>
      </c>
      <c r="B70" s="17">
        <f t="shared" ref="B70:G70" si="16">(B64)+(B69)</f>
        <v>0</v>
      </c>
      <c r="C70" s="17">
        <f t="shared" si="16"/>
        <v>0</v>
      </c>
      <c r="D70" s="17">
        <f t="shared" si="16"/>
        <v>0</v>
      </c>
      <c r="E70" s="17">
        <f t="shared" si="16"/>
        <v>4951.18</v>
      </c>
      <c r="F70" s="17">
        <f t="shared" si="16"/>
        <v>0</v>
      </c>
      <c r="G70" s="17">
        <f t="shared" si="16"/>
        <v>0</v>
      </c>
      <c r="H70" s="17">
        <f t="shared" si="11"/>
        <v>4951.18</v>
      </c>
    </row>
    <row r="71">
      <c r="A71" s="13" t="s">
        <v>97</v>
      </c>
      <c r="B71" s="14"/>
      <c r="C71" s="14"/>
      <c r="D71" s="14"/>
      <c r="E71" s="14"/>
      <c r="F71" s="14"/>
      <c r="G71" s="14"/>
      <c r="H71" s="15">
        <f t="shared" si="11"/>
        <v>0</v>
      </c>
    </row>
    <row r="72">
      <c r="A72" s="13" t="s">
        <v>98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99</v>
      </c>
      <c r="B73" s="15">
        <f>1422.93</f>
        <v>1422.93</v>
      </c>
      <c r="C73" s="15">
        <f>3152.2</f>
        <v>3152.2</v>
      </c>
      <c r="D73" s="15">
        <f>29617.59</f>
        <v>29617.59</v>
      </c>
      <c r="E73" s="14"/>
      <c r="F73" s="15">
        <f>8023.88</f>
        <v>8023.88</v>
      </c>
      <c r="G73" s="14"/>
      <c r="H73" s="15">
        <f t="shared" si="11"/>
        <v>42216.6</v>
      </c>
    </row>
    <row r="74">
      <c r="A74" s="13" t="s">
        <v>101</v>
      </c>
      <c r="B74" s="14"/>
      <c r="C74" s="14"/>
      <c r="D74" s="14"/>
      <c r="E74" s="14"/>
      <c r="F74" s="14"/>
      <c r="G74" s="14"/>
      <c r="H74" s="15">
        <f t="shared" si="11"/>
        <v>0</v>
      </c>
    </row>
    <row r="75">
      <c r="A75" s="13" t="s">
        <v>102</v>
      </c>
      <c r="B75" s="14"/>
      <c r="C75" s="14"/>
      <c r="D75" s="14"/>
      <c r="E75" s="14"/>
      <c r="F75" s="15">
        <f>5122.45</f>
        <v>5122.45</v>
      </c>
      <c r="G75" s="14"/>
      <c r="H75" s="15">
        <f t="shared" si="11"/>
        <v>5122.45</v>
      </c>
    </row>
    <row r="76">
      <c r="A76" s="13" t="s">
        <v>103</v>
      </c>
      <c r="B76" s="14"/>
      <c r="C76" s="14"/>
      <c r="D76" s="14"/>
      <c r="E76" s="14"/>
      <c r="F76" s="15">
        <f>2000</f>
        <v>2000</v>
      </c>
      <c r="G76" s="14"/>
      <c r="H76" s="15">
        <f t="shared" si="11"/>
        <v>2000</v>
      </c>
    </row>
    <row r="77">
      <c r="A77" s="13" t="s">
        <v>104</v>
      </c>
      <c r="B77" s="14"/>
      <c r="C77" s="14"/>
      <c r="D77" s="14"/>
      <c r="E77" s="14"/>
      <c r="F77" s="15">
        <f>462.51</f>
        <v>462.51</v>
      </c>
      <c r="G77" s="14"/>
      <c r="H77" s="15">
        <f t="shared" si="11"/>
        <v>462.51</v>
      </c>
    </row>
    <row r="78">
      <c r="A78" s="13" t="s">
        <v>105</v>
      </c>
      <c r="B78" s="17">
        <f t="shared" ref="B78:G78" si="17">(((B74)+(B75))+(B76))+(B77)</f>
        <v>0</v>
      </c>
      <c r="C78" s="17">
        <f t="shared" si="17"/>
        <v>0</v>
      </c>
      <c r="D78" s="17">
        <f t="shared" si="17"/>
        <v>0</v>
      </c>
      <c r="E78" s="17">
        <f t="shared" si="17"/>
        <v>0</v>
      </c>
      <c r="F78" s="17">
        <f t="shared" si="17"/>
        <v>7584.96</v>
      </c>
      <c r="G78" s="17">
        <f t="shared" si="17"/>
        <v>0</v>
      </c>
      <c r="H78" s="17">
        <f t="shared" si="11"/>
        <v>7584.96</v>
      </c>
    </row>
    <row r="79">
      <c r="A79" s="13" t="s">
        <v>106</v>
      </c>
      <c r="B79" s="14"/>
      <c r="C79" s="14"/>
      <c r="D79" s="14"/>
      <c r="E79" s="14"/>
      <c r="F79" s="15">
        <f>550</f>
        <v>550</v>
      </c>
      <c r="G79" s="14"/>
      <c r="H79" s="15">
        <f t="shared" si="11"/>
        <v>550</v>
      </c>
    </row>
    <row r="80">
      <c r="A80" s="13" t="s">
        <v>107</v>
      </c>
      <c r="B80" s="14"/>
      <c r="C80" s="14"/>
      <c r="D80" s="14"/>
      <c r="E80" s="14"/>
      <c r="F80" s="15">
        <f>14446.84</f>
        <v>14446.84</v>
      </c>
      <c r="G80" s="14"/>
      <c r="H80" s="15">
        <f t="shared" si="11"/>
        <v>14446.84</v>
      </c>
    </row>
    <row r="81">
      <c r="A81" s="13" t="s">
        <v>108</v>
      </c>
      <c r="B81" s="14"/>
      <c r="C81" s="14"/>
      <c r="D81" s="14"/>
      <c r="E81" s="14"/>
      <c r="F81" s="15">
        <f>1766.25</f>
        <v>1766.25</v>
      </c>
      <c r="G81" s="14"/>
      <c r="H81" s="15">
        <f t="shared" si="11"/>
        <v>1766.25</v>
      </c>
    </row>
    <row r="82">
      <c r="A82" s="13" t="s">
        <v>109</v>
      </c>
      <c r="B82" s="14"/>
      <c r="C82" s="14"/>
      <c r="D82" s="15">
        <f>519.4</f>
        <v>519.4</v>
      </c>
      <c r="E82" s="14"/>
      <c r="F82" s="15">
        <f>321.3</f>
        <v>321.3</v>
      </c>
      <c r="G82" s="14"/>
      <c r="H82" s="15">
        <f t="shared" si="11"/>
        <v>840.7</v>
      </c>
    </row>
    <row r="83">
      <c r="A83" s="13" t="s">
        <v>110</v>
      </c>
      <c r="B83" s="17">
        <f t="shared" ref="B83:G83" si="18">((((((B72)+(B73))+(B78))+(B79))+(B80))+(B81))+(B82)</f>
        <v>1422.93</v>
      </c>
      <c r="C83" s="17">
        <f t="shared" si="18"/>
        <v>3152.2</v>
      </c>
      <c r="D83" s="17">
        <f t="shared" si="18"/>
        <v>30136.99</v>
      </c>
      <c r="E83" s="17">
        <f t="shared" si="18"/>
        <v>0</v>
      </c>
      <c r="F83" s="17">
        <f t="shared" si="18"/>
        <v>32693.23</v>
      </c>
      <c r="G83" s="17">
        <f t="shared" si="18"/>
        <v>0</v>
      </c>
      <c r="H83" s="17">
        <f t="shared" si="11"/>
        <v>67405.35</v>
      </c>
    </row>
    <row r="84">
      <c r="A84" s="13" t="s">
        <v>111</v>
      </c>
      <c r="B84" s="14"/>
      <c r="C84" s="14"/>
      <c r="D84" s="14"/>
      <c r="E84" s="14"/>
      <c r="F84" s="15">
        <f>517.22</f>
        <v>517.22</v>
      </c>
      <c r="G84" s="14"/>
      <c r="H84" s="15">
        <f t="shared" si="11"/>
        <v>517.22</v>
      </c>
    </row>
    <row r="85">
      <c r="A85" s="13" t="s">
        <v>112</v>
      </c>
      <c r="B85" s="17">
        <f t="shared" ref="B85:G85" si="19">((B71)+(B83))+(B84)</f>
        <v>1422.93</v>
      </c>
      <c r="C85" s="17">
        <f t="shared" si="19"/>
        <v>3152.2</v>
      </c>
      <c r="D85" s="17">
        <f t="shared" si="19"/>
        <v>30136.99</v>
      </c>
      <c r="E85" s="17">
        <f t="shared" si="19"/>
        <v>0</v>
      </c>
      <c r="F85" s="17">
        <f t="shared" si="19"/>
        <v>33210.45</v>
      </c>
      <c r="G85" s="17">
        <f t="shared" si="19"/>
        <v>0</v>
      </c>
      <c r="H85" s="17">
        <f t="shared" si="11"/>
        <v>67922.57</v>
      </c>
    </row>
    <row r="86">
      <c r="A86" s="13" t="s">
        <v>113</v>
      </c>
      <c r="B86" s="17">
        <f t="shared" ref="B86:G86" si="20">((B63)+(B70))+(B85)</f>
        <v>1422.93</v>
      </c>
      <c r="C86" s="17">
        <f t="shared" si="20"/>
        <v>3152.2</v>
      </c>
      <c r="D86" s="17">
        <f t="shared" si="20"/>
        <v>30136.99</v>
      </c>
      <c r="E86" s="17">
        <f t="shared" si="20"/>
        <v>4951.18</v>
      </c>
      <c r="F86" s="17">
        <f t="shared" si="20"/>
        <v>33210.45</v>
      </c>
      <c r="G86" s="17">
        <f t="shared" si="20"/>
        <v>0</v>
      </c>
      <c r="H86" s="17">
        <f t="shared" si="11"/>
        <v>72873.75</v>
      </c>
    </row>
    <row r="87">
      <c r="A87" s="13" t="s">
        <v>114</v>
      </c>
      <c r="B87" s="27">
        <f t="shared" ref="B87:G87" si="21">((B61)+(B62))+(B86)</f>
        <v>1422.93</v>
      </c>
      <c r="C87" s="27">
        <f t="shared" si="21"/>
        <v>22245.52</v>
      </c>
      <c r="D87" s="27">
        <f t="shared" si="21"/>
        <v>31423.24</v>
      </c>
      <c r="E87" s="27">
        <f t="shared" si="21"/>
        <v>4951.18</v>
      </c>
      <c r="F87" s="27">
        <f t="shared" si="21"/>
        <v>33210.45</v>
      </c>
      <c r="G87" s="27">
        <f t="shared" si="21"/>
        <v>0</v>
      </c>
      <c r="H87" s="27">
        <f t="shared" si="11"/>
        <v>93253.32</v>
      </c>
    </row>
    <row r="88">
      <c r="A88" s="13" t="s">
        <v>115</v>
      </c>
      <c r="B88" s="17">
        <f t="shared" ref="B88:G88" si="22">(B39)-(B87)</f>
        <v>48567.07</v>
      </c>
      <c r="C88" s="17">
        <f t="shared" si="22"/>
        <v>-23142.06</v>
      </c>
      <c r="D88" s="17">
        <f t="shared" si="22"/>
        <v>-13857.93</v>
      </c>
      <c r="E88" s="17">
        <f t="shared" si="22"/>
        <v>114074.93</v>
      </c>
      <c r="F88" s="17">
        <f t="shared" si="22"/>
        <v>-7312.09</v>
      </c>
      <c r="G88" s="17">
        <f t="shared" si="22"/>
        <v>0</v>
      </c>
      <c r="H88" s="17">
        <f t="shared" si="11"/>
        <v>118329.92</v>
      </c>
    </row>
    <row r="89">
      <c r="A89" s="13" t="s">
        <v>4</v>
      </c>
      <c r="B89" s="27">
        <f t="shared" ref="B89:G89" si="23">(B88)+(0)</f>
        <v>48567.07</v>
      </c>
      <c r="C89" s="28">
        <f t="shared" si="23"/>
        <v>-23142.06</v>
      </c>
      <c r="D89" s="28">
        <f t="shared" si="23"/>
        <v>-13857.93</v>
      </c>
      <c r="E89" s="27">
        <f t="shared" si="23"/>
        <v>114074.93</v>
      </c>
      <c r="F89" s="28">
        <f t="shared" si="23"/>
        <v>-7312.09</v>
      </c>
      <c r="G89" s="27">
        <f t="shared" si="23"/>
        <v>0</v>
      </c>
      <c r="H89" s="27">
        <f t="shared" si="11"/>
        <v>118329.92</v>
      </c>
    </row>
    <row r="90">
      <c r="A90" s="13"/>
      <c r="B90" s="14"/>
      <c r="C90" s="14"/>
      <c r="D90" s="14"/>
      <c r="E90" s="14"/>
      <c r="F90" s="14"/>
      <c r="G90" s="14"/>
      <c r="H90" s="14"/>
    </row>
    <row r="91"/>
    <row r="92"/>
    <row r="93">
      <c r="A93" s="19" t="s">
        <v>205</v>
      </c>
    </row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3:H9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206</v>
      </c>
    </row>
    <row r="5">
      <c r="A5" s="10"/>
      <c r="B5" s="11" t="s">
        <v>9</v>
      </c>
      <c r="C5" s="21"/>
      <c r="D5" s="5" t="s">
        <v>128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22">
        <f>165000</f>
        <v>165000</v>
      </c>
    </row>
    <row r="11">
      <c r="A11" s="13" t="s">
        <v>134</v>
      </c>
      <c r="B11" s="22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374075.75</f>
        <v>374075.75</v>
      </c>
    </row>
    <row r="16">
      <c r="A16" s="13" t="s">
        <v>140</v>
      </c>
      <c r="B16" s="15">
        <f>214692.27</f>
        <v>214692.27</v>
      </c>
    </row>
    <row r="17">
      <c r="A17" s="13" t="s">
        <v>141</v>
      </c>
      <c r="B17" s="15">
        <f>98244.87</f>
        <v>98244.87</v>
      </c>
      <c r="C17" s="5" t="s">
        <v>207</v>
      </c>
    </row>
    <row r="18">
      <c r="A18" s="13" t="s">
        <v>143</v>
      </c>
      <c r="B18" s="17">
        <f>(((B14)+(B15))+(B16))+(B17)</f>
        <v>687012.89</v>
      </c>
    </row>
    <row r="19">
      <c r="A19" s="13" t="s">
        <v>144</v>
      </c>
      <c r="B19" s="17">
        <f>(B13)+(B18)</f>
        <v>1041107.38</v>
      </c>
    </row>
    <row r="20">
      <c r="A20" s="13" t="s">
        <v>145</v>
      </c>
      <c r="B20" s="14"/>
    </row>
    <row r="21">
      <c r="A21" s="13" t="s">
        <v>146</v>
      </c>
      <c r="B21" s="15">
        <f>36084.79</f>
        <v>36084.79</v>
      </c>
    </row>
    <row r="22">
      <c r="A22" s="13" t="s">
        <v>147</v>
      </c>
      <c r="B22" s="17">
        <f>B21</f>
        <v>36084.79</v>
      </c>
    </row>
    <row r="23">
      <c r="A23" s="13" t="s">
        <v>148</v>
      </c>
      <c r="B23" s="14"/>
    </row>
    <row r="24">
      <c r="A24" s="13" t="s">
        <v>149</v>
      </c>
      <c r="B24" s="15">
        <f t="shared" ref="B24:B31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 t="shared" si="1"/>
        <v>0</v>
      </c>
    </row>
    <row r="28">
      <c r="A28" s="13" t="s">
        <v>153</v>
      </c>
      <c r="B28" s="15">
        <f t="shared" si="1"/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7">
        <f>(((((((B24)+(B25))+(B26))+(B27))+(B28))+(B29))+(B30))+(B31)</f>
        <v>0</v>
      </c>
    </row>
    <row r="33">
      <c r="A33" s="13" t="s">
        <v>158</v>
      </c>
      <c r="B33" s="17">
        <f>((B19)+(B22))+(B32)</f>
        <v>1077192.17</v>
      </c>
    </row>
    <row r="34">
      <c r="A34" s="13" t="s">
        <v>159</v>
      </c>
      <c r="B34" s="14"/>
    </row>
    <row r="35">
      <c r="A35" s="13" t="s">
        <v>160</v>
      </c>
      <c r="B35" s="15">
        <f>162750</f>
        <v>162750</v>
      </c>
    </row>
    <row r="36">
      <c r="A36" s="13" t="s">
        <v>161</v>
      </c>
      <c r="B36" s="15">
        <f>475000</f>
        <v>475000</v>
      </c>
    </row>
    <row r="37">
      <c r="A37" s="13" t="s">
        <v>162</v>
      </c>
      <c r="B37" s="15">
        <f>110000</f>
        <v>110000</v>
      </c>
    </row>
    <row r="38">
      <c r="A38" s="13" t="s">
        <v>163</v>
      </c>
      <c r="B38" s="17">
        <f>((B35)+(B36))+(B37)</f>
        <v>747750</v>
      </c>
    </row>
    <row r="39">
      <c r="A39" s="13" t="s">
        <v>164</v>
      </c>
      <c r="B39" s="14"/>
    </row>
    <row r="40">
      <c r="A40" s="13" t="s">
        <v>165</v>
      </c>
      <c r="B40" s="15">
        <f>0</f>
        <v>0</v>
      </c>
    </row>
    <row r="41">
      <c r="A41" s="13" t="s">
        <v>166</v>
      </c>
      <c r="B41" s="17">
        <f>B40</f>
        <v>0</v>
      </c>
    </row>
    <row r="42">
      <c r="A42" s="13" t="s">
        <v>167</v>
      </c>
      <c r="B42" s="17">
        <f>((B33)+(B38))+(B41)</f>
        <v>1824942.17</v>
      </c>
    </row>
    <row r="43">
      <c r="A43" s="13" t="s">
        <v>168</v>
      </c>
      <c r="B43" s="14"/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5">
        <f>6671.45</f>
        <v>6671.45</v>
      </c>
    </row>
    <row r="48">
      <c r="A48" s="13" t="s">
        <v>173</v>
      </c>
      <c r="B48" s="17">
        <f>B47</f>
        <v>6671.45</v>
      </c>
    </row>
    <row r="49">
      <c r="A49" s="13" t="s">
        <v>174</v>
      </c>
      <c r="B49" s="14"/>
    </row>
    <row r="50">
      <c r="A50" s="13" t="s">
        <v>175</v>
      </c>
      <c r="B50" s="15">
        <f>0</f>
        <v>0</v>
      </c>
    </row>
    <row r="51">
      <c r="A51" s="13" t="s">
        <v>176</v>
      </c>
      <c r="B51" s="15">
        <f>1112.85</f>
        <v>1112.85</v>
      </c>
    </row>
    <row r="52">
      <c r="A52" s="13" t="s">
        <v>177</v>
      </c>
      <c r="B52" s="17">
        <f>(B50)+(B51)</f>
        <v>1112.85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17">
        <f>((B54)+(B55))+(B56)</f>
        <v>0</v>
      </c>
    </row>
    <row r="58">
      <c r="A58" s="13" t="s">
        <v>183</v>
      </c>
      <c r="B58" s="17">
        <f>((B48)+(B52))+(B57)</f>
        <v>7784.3</v>
      </c>
    </row>
    <row r="59">
      <c r="A59" s="13" t="s">
        <v>184</v>
      </c>
      <c r="B59" s="17">
        <f>B58</f>
        <v>7784.3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1698827.95</f>
        <v>1698827.95</v>
      </c>
    </row>
    <row r="63">
      <c r="A63" s="13" t="s">
        <v>188</v>
      </c>
      <c r="B63" s="15">
        <f>118329.92</f>
        <v>118329.92</v>
      </c>
    </row>
    <row r="64">
      <c r="A64" s="13" t="s">
        <v>189</v>
      </c>
      <c r="B64" s="17">
        <f>((B61)+(B62))+(B63)</f>
        <v>1817157.87</v>
      </c>
    </row>
    <row r="65">
      <c r="A65" s="13" t="s">
        <v>190</v>
      </c>
      <c r="B65" s="17">
        <f>(B59)+(B64)</f>
        <v>1824942.17</v>
      </c>
    </row>
    <row r="66">
      <c r="A66" s="13"/>
      <c r="B66" s="14"/>
    </row>
    <row r="67"/>
    <row r="68"/>
    <row r="69">
      <c r="A69" s="19" t="s">
        <v>208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5.0"/>
    <col customWidth="1" min="6" max="6" width="11.5"/>
    <col customWidth="1" min="7" max="26" width="7.63"/>
  </cols>
  <sheetData>
    <row r="1">
      <c r="A1" s="8" t="s">
        <v>6</v>
      </c>
    </row>
    <row r="2">
      <c r="A2" s="8" t="s">
        <v>117</v>
      </c>
      <c r="E2" s="23" t="s">
        <v>192</v>
      </c>
    </row>
    <row r="3">
      <c r="A3" s="9" t="s">
        <v>203</v>
      </c>
      <c r="E3" s="24">
        <v>99995.0</v>
      </c>
    </row>
    <row r="5">
      <c r="A5" s="10"/>
      <c r="B5" s="11" t="s">
        <v>118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17">
        <f>B7</f>
        <v>49990</v>
      </c>
      <c r="C8" s="17">
        <f t="shared" si="1"/>
        <v>49990</v>
      </c>
    </row>
    <row r="9">
      <c r="A9" s="13" t="s">
        <v>50</v>
      </c>
      <c r="B9" s="29">
        <f>(B8)-(0)</f>
        <v>49990</v>
      </c>
      <c r="C9" s="29">
        <f t="shared" si="1"/>
        <v>49990</v>
      </c>
    </row>
    <row r="10">
      <c r="A10" s="13" t="s">
        <v>51</v>
      </c>
      <c r="B10" s="14"/>
      <c r="C10" s="14"/>
    </row>
    <row r="11">
      <c r="A11" s="13" t="s">
        <v>76</v>
      </c>
      <c r="B11" s="14"/>
      <c r="C11" s="15" t="str">
        <f t="shared" ref="C11:C20" si="2">B11</f>
        <v/>
      </c>
    </row>
    <row r="12">
      <c r="A12" s="13" t="s">
        <v>97</v>
      </c>
      <c r="B12" s="14"/>
      <c r="C12" s="15" t="str">
        <f t="shared" si="2"/>
        <v/>
      </c>
    </row>
    <row r="13">
      <c r="A13" s="13" t="s">
        <v>98</v>
      </c>
      <c r="B13" s="14"/>
      <c r="C13" s="15" t="str">
        <f t="shared" si="2"/>
        <v/>
      </c>
    </row>
    <row r="14">
      <c r="A14" s="13" t="s">
        <v>99</v>
      </c>
      <c r="B14" s="15">
        <f>1422.93</f>
        <v>1422.93</v>
      </c>
      <c r="C14" s="15">
        <f t="shared" si="2"/>
        <v>1422.93</v>
      </c>
    </row>
    <row r="15">
      <c r="A15" s="13" t="s">
        <v>110</v>
      </c>
      <c r="B15" s="17">
        <f>(B13)+(B14)</f>
        <v>1422.93</v>
      </c>
      <c r="C15" s="17">
        <f t="shared" si="2"/>
        <v>1422.93</v>
      </c>
    </row>
    <row r="16">
      <c r="A16" s="13" t="s">
        <v>112</v>
      </c>
      <c r="B16" s="17">
        <f>(B12)+(B15)</f>
        <v>1422.93</v>
      </c>
      <c r="C16" s="17">
        <f t="shared" si="2"/>
        <v>1422.93</v>
      </c>
    </row>
    <row r="17">
      <c r="A17" s="13" t="s">
        <v>113</v>
      </c>
      <c r="B17" s="17">
        <f>(B11)+(B16)</f>
        <v>1422.93</v>
      </c>
      <c r="C17" s="17">
        <f t="shared" si="2"/>
        <v>1422.93</v>
      </c>
    </row>
    <row r="18">
      <c r="A18" s="13" t="s">
        <v>114</v>
      </c>
      <c r="B18" s="17">
        <f>B17</f>
        <v>1422.93</v>
      </c>
      <c r="C18" s="17">
        <f t="shared" si="2"/>
        <v>1422.93</v>
      </c>
    </row>
    <row r="19">
      <c r="A19" s="13" t="s">
        <v>115</v>
      </c>
      <c r="B19" s="17">
        <f>(B9)-(B18)</f>
        <v>48567.07</v>
      </c>
      <c r="C19" s="17">
        <f t="shared" si="2"/>
        <v>48567.07</v>
      </c>
    </row>
    <row r="20">
      <c r="A20" s="13" t="s">
        <v>4</v>
      </c>
      <c r="B20" s="29">
        <f>(B19)+(0)</f>
        <v>48567.07</v>
      </c>
      <c r="C20" s="29">
        <f t="shared" si="2"/>
        <v>48567.07</v>
      </c>
    </row>
    <row r="21">
      <c r="A21" s="13"/>
      <c r="B21" s="14"/>
      <c r="C21" s="14"/>
    </row>
    <row r="22"/>
    <row r="23"/>
    <row r="24">
      <c r="A24" s="19" t="s">
        <v>209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4:C24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3.38"/>
    <col customWidth="1" min="6" max="6" width="12.0"/>
    <col customWidth="1" min="7" max="26" width="7.63"/>
  </cols>
  <sheetData>
    <row r="1">
      <c r="A1" s="8" t="s">
        <v>6</v>
      </c>
    </row>
    <row r="2">
      <c r="A2" s="8" t="s">
        <v>117</v>
      </c>
    </row>
    <row r="3">
      <c r="A3" s="9" t="s">
        <v>203</v>
      </c>
    </row>
    <row r="4">
      <c r="E4" s="30" t="s">
        <v>210</v>
      </c>
      <c r="F4" s="31">
        <v>75000.0</v>
      </c>
    </row>
    <row r="5">
      <c r="A5" s="10"/>
      <c r="B5" s="11" t="s">
        <v>120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3757.88</f>
        <v>3757.88</v>
      </c>
      <c r="C8" s="15">
        <f t="shared" si="1"/>
        <v>3757.88</v>
      </c>
    </row>
    <row r="9">
      <c r="A9" s="13" t="s">
        <v>43</v>
      </c>
      <c r="B9" s="15">
        <f>10243.58</f>
        <v>10243.58</v>
      </c>
      <c r="C9" s="15">
        <f t="shared" si="1"/>
        <v>10243.58</v>
      </c>
    </row>
    <row r="10">
      <c r="A10" s="13" t="s">
        <v>46</v>
      </c>
      <c r="B10" s="15">
        <f>2665.14</f>
        <v>2665.14</v>
      </c>
      <c r="C10" s="15">
        <f t="shared" si="1"/>
        <v>2665.14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17">
        <f>((B9)+(B10))+(B11)</f>
        <v>13807.43</v>
      </c>
      <c r="C12" s="17">
        <f t="shared" si="1"/>
        <v>13807.43</v>
      </c>
    </row>
    <row r="13">
      <c r="A13" s="13" t="s">
        <v>49</v>
      </c>
      <c r="B13" s="17">
        <f>((B7)+(B8))+(B12)</f>
        <v>17565.31</v>
      </c>
      <c r="C13" s="17">
        <f t="shared" si="1"/>
        <v>17565.31</v>
      </c>
    </row>
    <row r="14">
      <c r="A14" s="13" t="s">
        <v>2</v>
      </c>
      <c r="B14" s="17">
        <f>B13</f>
        <v>17565.31</v>
      </c>
      <c r="C14" s="17">
        <f t="shared" si="1"/>
        <v>17565.31</v>
      </c>
    </row>
    <row r="15">
      <c r="A15" s="13" t="s">
        <v>50</v>
      </c>
      <c r="B15" s="29">
        <f>(B14)-(0)</f>
        <v>17565.31</v>
      </c>
      <c r="C15" s="29">
        <f t="shared" si="1"/>
        <v>17565.31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17">
        <f>(B18)+(B19)</f>
        <v>991.25</v>
      </c>
      <c r="C20" s="17">
        <f t="shared" si="2"/>
        <v>991.25</v>
      </c>
    </row>
    <row r="21">
      <c r="A21" s="13" t="s">
        <v>66</v>
      </c>
      <c r="B21" s="15">
        <f>275</f>
        <v>275</v>
      </c>
      <c r="C21" s="15">
        <f t="shared" si="2"/>
        <v>275</v>
      </c>
    </row>
    <row r="22">
      <c r="A22" s="13" t="s">
        <v>68</v>
      </c>
      <c r="B22" s="15">
        <f>20</f>
        <v>20</v>
      </c>
      <c r="C22" s="15">
        <f t="shared" si="2"/>
        <v>20</v>
      </c>
    </row>
    <row r="23">
      <c r="A23" s="13" t="s">
        <v>74</v>
      </c>
      <c r="B23" s="17">
        <f>(((B17)+(B20))+(B21))+(B22)</f>
        <v>1286.25</v>
      </c>
      <c r="C23" s="17">
        <f t="shared" si="2"/>
        <v>1286.25</v>
      </c>
    </row>
    <row r="24">
      <c r="A24" s="13" t="s">
        <v>76</v>
      </c>
      <c r="B24" s="14"/>
      <c r="C24" s="15" t="str">
        <f t="shared" si="2"/>
        <v/>
      </c>
    </row>
    <row r="25">
      <c r="A25" s="13" t="s">
        <v>97</v>
      </c>
      <c r="B25" s="14"/>
      <c r="C25" s="15" t="str">
        <f t="shared" si="2"/>
        <v/>
      </c>
    </row>
    <row r="26">
      <c r="A26" s="13" t="s">
        <v>98</v>
      </c>
      <c r="B26" s="14"/>
      <c r="C26" s="15" t="str">
        <f t="shared" si="2"/>
        <v/>
      </c>
    </row>
    <row r="27">
      <c r="A27" s="13" t="s">
        <v>99</v>
      </c>
      <c r="B27" s="15">
        <f>29617.59</f>
        <v>29617.59</v>
      </c>
      <c r="C27" s="15">
        <f t="shared" si="2"/>
        <v>29617.59</v>
      </c>
    </row>
    <row r="28">
      <c r="A28" s="13" t="s">
        <v>109</v>
      </c>
      <c r="B28" s="15">
        <f>519.4</f>
        <v>519.4</v>
      </c>
      <c r="C28" s="15">
        <f t="shared" si="2"/>
        <v>519.4</v>
      </c>
    </row>
    <row r="29">
      <c r="A29" s="13" t="s">
        <v>110</v>
      </c>
      <c r="B29" s="17">
        <f>((B26)+(B27))+(B28)</f>
        <v>30136.99</v>
      </c>
      <c r="C29" s="17">
        <f t="shared" si="2"/>
        <v>30136.99</v>
      </c>
    </row>
    <row r="30">
      <c r="A30" s="13" t="s">
        <v>112</v>
      </c>
      <c r="B30" s="17">
        <f>(B25)+(B29)</f>
        <v>30136.99</v>
      </c>
      <c r="C30" s="17">
        <f t="shared" si="2"/>
        <v>30136.99</v>
      </c>
    </row>
    <row r="31">
      <c r="A31" s="13" t="s">
        <v>113</v>
      </c>
      <c r="B31" s="17">
        <f>(B24)+(B30)</f>
        <v>30136.99</v>
      </c>
      <c r="C31" s="17">
        <f t="shared" si="2"/>
        <v>30136.99</v>
      </c>
    </row>
    <row r="32">
      <c r="A32" s="13" t="s">
        <v>114</v>
      </c>
      <c r="B32" s="17">
        <f>(B23)+(B31)</f>
        <v>31423.24</v>
      </c>
      <c r="C32" s="17">
        <f t="shared" si="2"/>
        <v>31423.24</v>
      </c>
    </row>
    <row r="33">
      <c r="A33" s="13" t="s">
        <v>115</v>
      </c>
      <c r="B33" s="17">
        <f>(B15)-(B32)</f>
        <v>-13857.93</v>
      </c>
      <c r="C33" s="17">
        <f t="shared" si="2"/>
        <v>-13857.93</v>
      </c>
    </row>
    <row r="34">
      <c r="A34" s="13" t="s">
        <v>4</v>
      </c>
      <c r="B34" s="32">
        <f>(B33)+(0)</f>
        <v>-13857.93</v>
      </c>
      <c r="C34" s="32">
        <f t="shared" si="2"/>
        <v>-13857.93</v>
      </c>
    </row>
    <row r="35">
      <c r="A35" s="13"/>
      <c r="B35" s="14"/>
      <c r="C35" s="14"/>
    </row>
    <row r="36"/>
    <row r="37"/>
    <row r="38">
      <c r="A38" s="19" t="s">
        <v>211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4" width="7.63"/>
    <col customWidth="1" min="5" max="5" width="19.25"/>
    <col customWidth="1" min="6" max="7" width="11.63"/>
    <col customWidth="1" min="8" max="26" width="7.63"/>
  </cols>
  <sheetData>
    <row r="1">
      <c r="A1" s="8" t="s">
        <v>6</v>
      </c>
    </row>
    <row r="2">
      <c r="A2" s="8" t="s">
        <v>117</v>
      </c>
    </row>
    <row r="3">
      <c r="A3" s="9" t="s">
        <v>203</v>
      </c>
      <c r="E3" s="25" t="s">
        <v>195</v>
      </c>
      <c r="F3" s="33">
        <v>119745.1</v>
      </c>
    </row>
    <row r="5">
      <c r="A5" s="10"/>
      <c r="B5" s="11" t="s">
        <v>121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7224.94</f>
        <v>7224.94</v>
      </c>
      <c r="C15" s="15">
        <f t="shared" si="1"/>
        <v>7224.94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17">
        <f>((((((((((((((B7)+(B8))+(B9))+(B10))+(B11))+(B12))+(B13))+(B14))+(B15))+(B16))+(B17))+(B18))+(B19))+(B20))+(B21)</f>
        <v>119026.11</v>
      </c>
      <c r="C22" s="17">
        <f t="shared" si="1"/>
        <v>119026.11</v>
      </c>
    </row>
    <row r="23">
      <c r="A23" s="13" t="s">
        <v>2</v>
      </c>
      <c r="B23" s="17">
        <f>B22</f>
        <v>119026.11</v>
      </c>
      <c r="C23" s="17">
        <f t="shared" si="1"/>
        <v>119026.11</v>
      </c>
    </row>
    <row r="24">
      <c r="A24" s="13" t="s">
        <v>50</v>
      </c>
      <c r="B24" s="29">
        <f>(B23)-(0)</f>
        <v>119026.11</v>
      </c>
      <c r="C24" s="29">
        <f t="shared" si="1"/>
        <v>119026.11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0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74</v>
      </c>
      <c r="B28" s="17">
        <f>(B26)+(B27)</f>
        <v>0</v>
      </c>
      <c r="C28" s="17">
        <f t="shared" si="4"/>
        <v>0</v>
      </c>
    </row>
    <row r="29">
      <c r="A29" s="13" t="s">
        <v>76</v>
      </c>
      <c r="B29" s="14"/>
      <c r="C29" s="15" t="str">
        <f t="shared" si="4"/>
        <v/>
      </c>
    </row>
    <row r="30">
      <c r="A30" s="13" t="s">
        <v>77</v>
      </c>
      <c r="B30" s="14"/>
      <c r="C30" s="15" t="str">
        <f t="shared" si="4"/>
        <v/>
      </c>
    </row>
    <row r="31">
      <c r="A31" s="13" t="s">
        <v>78</v>
      </c>
      <c r="B31" s="15">
        <f>1650.6</f>
        <v>1650.6</v>
      </c>
      <c r="C31" s="15">
        <f t="shared" si="4"/>
        <v>1650.6</v>
      </c>
    </row>
    <row r="32">
      <c r="A32" s="13" t="s">
        <v>84</v>
      </c>
      <c r="B32" s="15">
        <f>2439.26</f>
        <v>2439.26</v>
      </c>
      <c r="C32" s="15">
        <f t="shared" si="4"/>
        <v>2439.26</v>
      </c>
    </row>
    <row r="33">
      <c r="A33" s="13" t="s">
        <v>89</v>
      </c>
      <c r="B33" s="15">
        <f>410.15</f>
        <v>410.15</v>
      </c>
      <c r="C33" s="15">
        <f t="shared" si="4"/>
        <v>410.15</v>
      </c>
    </row>
    <row r="34">
      <c r="A34" s="13" t="s">
        <v>90</v>
      </c>
      <c r="B34" s="15">
        <f>451.17</f>
        <v>451.17</v>
      </c>
      <c r="C34" s="15">
        <f t="shared" si="4"/>
        <v>451.17</v>
      </c>
    </row>
    <row r="35">
      <c r="A35" s="13" t="s">
        <v>94</v>
      </c>
      <c r="B35" s="17">
        <f>(((B31)+(B32))+(B33))+(B34)</f>
        <v>4951.18</v>
      </c>
      <c r="C35" s="17">
        <f t="shared" si="4"/>
        <v>4951.18</v>
      </c>
    </row>
    <row r="36">
      <c r="A36" s="13" t="s">
        <v>95</v>
      </c>
      <c r="B36" s="17">
        <f>(B30)+(B35)</f>
        <v>4951.18</v>
      </c>
      <c r="C36" s="17">
        <f t="shared" si="4"/>
        <v>4951.18</v>
      </c>
    </row>
    <row r="37">
      <c r="A37" s="13" t="s">
        <v>113</v>
      </c>
      <c r="B37" s="17">
        <f>(B29)+(B36)</f>
        <v>4951.18</v>
      </c>
      <c r="C37" s="17">
        <f t="shared" si="4"/>
        <v>4951.18</v>
      </c>
    </row>
    <row r="38">
      <c r="A38" s="13" t="s">
        <v>114</v>
      </c>
      <c r="B38" s="17">
        <f>(B28)+(B37)</f>
        <v>4951.18</v>
      </c>
      <c r="C38" s="17">
        <f t="shared" si="4"/>
        <v>4951.18</v>
      </c>
    </row>
    <row r="39">
      <c r="A39" s="13" t="s">
        <v>115</v>
      </c>
      <c r="B39" s="17">
        <f>(B24)-(B38)</f>
        <v>114074.93</v>
      </c>
      <c r="C39" s="17">
        <f t="shared" si="4"/>
        <v>114074.93</v>
      </c>
    </row>
    <row r="40">
      <c r="A40" s="13" t="s">
        <v>4</v>
      </c>
      <c r="B40" s="29">
        <f>(B39)+(0)</f>
        <v>114074.93</v>
      </c>
      <c r="C40" s="29">
        <f t="shared" si="4"/>
        <v>114074.93</v>
      </c>
    </row>
    <row r="41">
      <c r="A41" s="13"/>
      <c r="B41" s="14"/>
      <c r="C41" s="14"/>
    </row>
    <row r="42"/>
    <row r="43"/>
    <row r="44">
      <c r="A44" s="19" t="s">
        <v>212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63"/>
    <col customWidth="1" min="6" max="26" width="7.63"/>
  </cols>
  <sheetData>
    <row r="1">
      <c r="A1" s="8" t="s">
        <v>6</v>
      </c>
    </row>
    <row r="2">
      <c r="A2" s="8" t="s">
        <v>117</v>
      </c>
    </row>
    <row r="3">
      <c r="A3" s="9" t="s">
        <v>203</v>
      </c>
      <c r="E3" s="26" t="s">
        <v>197</v>
      </c>
    </row>
    <row r="4">
      <c r="E4" s="23" t="s">
        <v>198</v>
      </c>
    </row>
    <row r="5">
      <c r="A5" s="10"/>
      <c r="B5" s="11" t="s">
        <v>122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17">
        <f>(B8)+(B9)</f>
        <v>25898.36</v>
      </c>
      <c r="C10" s="17">
        <f t="shared" si="1"/>
        <v>25898.36</v>
      </c>
    </row>
    <row r="11">
      <c r="A11" s="13" t="s">
        <v>49</v>
      </c>
      <c r="B11" s="17">
        <f>(B7)+(B10)</f>
        <v>25898.36</v>
      </c>
      <c r="C11" s="17">
        <f t="shared" si="1"/>
        <v>25898.36</v>
      </c>
    </row>
    <row r="12">
      <c r="A12" s="13" t="s">
        <v>2</v>
      </c>
      <c r="B12" s="17">
        <f>B11</f>
        <v>25898.36</v>
      </c>
      <c r="C12" s="17">
        <f t="shared" si="1"/>
        <v>25898.36</v>
      </c>
    </row>
    <row r="13">
      <c r="A13" s="13" t="s">
        <v>50</v>
      </c>
      <c r="B13" s="29">
        <f>(B12)-(0)</f>
        <v>25898.36</v>
      </c>
      <c r="C13" s="29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76</v>
      </c>
      <c r="B15" s="14"/>
      <c r="C15" s="15" t="str">
        <f t="shared" ref="C15:C34" si="2">B15</f>
        <v/>
      </c>
    </row>
    <row r="16">
      <c r="A16" s="13" t="s">
        <v>97</v>
      </c>
      <c r="B16" s="14"/>
      <c r="C16" s="15" t="str">
        <f t="shared" si="2"/>
        <v/>
      </c>
    </row>
    <row r="17">
      <c r="A17" s="13" t="s">
        <v>98</v>
      </c>
      <c r="B17" s="14"/>
      <c r="C17" s="15" t="str">
        <f t="shared" si="2"/>
        <v/>
      </c>
    </row>
    <row r="18">
      <c r="A18" s="13" t="s">
        <v>99</v>
      </c>
      <c r="B18" s="15">
        <f>8023.88</f>
        <v>8023.88</v>
      </c>
      <c r="C18" s="15">
        <f t="shared" si="2"/>
        <v>8023.88</v>
      </c>
    </row>
    <row r="19">
      <c r="A19" s="13" t="s">
        <v>101</v>
      </c>
      <c r="B19" s="14"/>
      <c r="C19" s="15" t="str">
        <f t="shared" si="2"/>
        <v/>
      </c>
    </row>
    <row r="20">
      <c r="A20" s="13" t="s">
        <v>102</v>
      </c>
      <c r="B20" s="15">
        <f>5122.45</f>
        <v>5122.45</v>
      </c>
      <c r="C20" s="15">
        <f t="shared" si="2"/>
        <v>5122.45</v>
      </c>
    </row>
    <row r="21">
      <c r="A21" s="13" t="s">
        <v>103</v>
      </c>
      <c r="B21" s="15">
        <f>2000</f>
        <v>2000</v>
      </c>
      <c r="C21" s="15">
        <f t="shared" si="2"/>
        <v>2000</v>
      </c>
    </row>
    <row r="22">
      <c r="A22" s="13" t="s">
        <v>104</v>
      </c>
      <c r="B22" s="15">
        <f>462.51</f>
        <v>462.51</v>
      </c>
      <c r="C22" s="15">
        <f t="shared" si="2"/>
        <v>462.51</v>
      </c>
    </row>
    <row r="23">
      <c r="A23" s="13" t="s">
        <v>105</v>
      </c>
      <c r="B23" s="17">
        <f>(((B19)+(B20))+(B21))+(B22)</f>
        <v>7584.96</v>
      </c>
      <c r="C23" s="17">
        <f t="shared" si="2"/>
        <v>7584.96</v>
      </c>
    </row>
    <row r="24">
      <c r="A24" s="13" t="s">
        <v>106</v>
      </c>
      <c r="B24" s="15">
        <f>550</f>
        <v>550</v>
      </c>
      <c r="C24" s="15">
        <f t="shared" si="2"/>
        <v>550</v>
      </c>
    </row>
    <row r="25">
      <c r="A25" s="13" t="s">
        <v>107</v>
      </c>
      <c r="B25" s="15">
        <f>14446.84</f>
        <v>14446.84</v>
      </c>
      <c r="C25" s="15">
        <f t="shared" si="2"/>
        <v>14446.84</v>
      </c>
    </row>
    <row r="26">
      <c r="A26" s="13" t="s">
        <v>108</v>
      </c>
      <c r="B26" s="15">
        <f>1766.25</f>
        <v>1766.25</v>
      </c>
      <c r="C26" s="15">
        <f t="shared" si="2"/>
        <v>1766.25</v>
      </c>
    </row>
    <row r="27">
      <c r="A27" s="13" t="s">
        <v>109</v>
      </c>
      <c r="B27" s="15">
        <f>321.3</f>
        <v>321.3</v>
      </c>
      <c r="C27" s="15">
        <f t="shared" si="2"/>
        <v>321.3</v>
      </c>
    </row>
    <row r="28">
      <c r="A28" s="13" t="s">
        <v>110</v>
      </c>
      <c r="B28" s="17">
        <f>((((((B17)+(B18))+(B23))+(B24))+(B25))+(B26))+(B27)</f>
        <v>32693.23</v>
      </c>
      <c r="C28" s="17">
        <f t="shared" si="2"/>
        <v>32693.23</v>
      </c>
    </row>
    <row r="29">
      <c r="A29" s="13" t="s">
        <v>111</v>
      </c>
      <c r="B29" s="15">
        <f>517.22</f>
        <v>517.22</v>
      </c>
      <c r="C29" s="15">
        <f t="shared" si="2"/>
        <v>517.22</v>
      </c>
    </row>
    <row r="30">
      <c r="A30" s="13" t="s">
        <v>112</v>
      </c>
      <c r="B30" s="17">
        <f>((B16)+(B28))+(B29)</f>
        <v>33210.45</v>
      </c>
      <c r="C30" s="17">
        <f t="shared" si="2"/>
        <v>33210.45</v>
      </c>
    </row>
    <row r="31">
      <c r="A31" s="13" t="s">
        <v>113</v>
      </c>
      <c r="B31" s="17">
        <f>(B15)+(B30)</f>
        <v>33210.45</v>
      </c>
      <c r="C31" s="17">
        <f t="shared" si="2"/>
        <v>33210.45</v>
      </c>
    </row>
    <row r="32">
      <c r="A32" s="13" t="s">
        <v>114</v>
      </c>
      <c r="B32" s="17">
        <f>B31</f>
        <v>33210.45</v>
      </c>
      <c r="C32" s="17">
        <f t="shared" si="2"/>
        <v>33210.45</v>
      </c>
    </row>
    <row r="33">
      <c r="A33" s="13" t="s">
        <v>115</v>
      </c>
      <c r="B33" s="17">
        <f>(B13)-(B32)</f>
        <v>-7312.09</v>
      </c>
      <c r="C33" s="17">
        <f t="shared" si="2"/>
        <v>-7312.09</v>
      </c>
    </row>
    <row r="34">
      <c r="A34" s="13" t="s">
        <v>4</v>
      </c>
      <c r="B34" s="32">
        <f>(B33)+(0)</f>
        <v>-7312.09</v>
      </c>
      <c r="C34" s="32">
        <f t="shared" si="2"/>
        <v>-7312.09</v>
      </c>
    </row>
    <row r="35">
      <c r="A35" s="13"/>
      <c r="B35" s="14"/>
      <c r="C35" s="14"/>
    </row>
    <row r="36"/>
    <row r="37"/>
    <row r="38">
      <c r="A38" s="19" t="s">
        <v>213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9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214</v>
      </c>
    </row>
    <row r="3">
      <c r="A3" s="9" t="s">
        <v>215</v>
      </c>
    </row>
    <row r="5">
      <c r="B5" s="11" t="s">
        <v>216</v>
      </c>
      <c r="C5" s="11" t="s">
        <v>217</v>
      </c>
      <c r="D5" s="11" t="s">
        <v>218</v>
      </c>
      <c r="E5" s="11" t="s">
        <v>219</v>
      </c>
      <c r="F5" s="11" t="s">
        <v>220</v>
      </c>
      <c r="G5" s="11" t="s">
        <v>221</v>
      </c>
      <c r="H5" s="11" t="s">
        <v>222</v>
      </c>
      <c r="I5" s="11" t="s">
        <v>223</v>
      </c>
    </row>
    <row r="6">
      <c r="A6" s="13" t="s">
        <v>224</v>
      </c>
    </row>
    <row r="7">
      <c r="B7" s="34" t="s">
        <v>225</v>
      </c>
      <c r="C7" s="34" t="s">
        <v>226</v>
      </c>
      <c r="D7" s="34" t="s">
        <v>227</v>
      </c>
      <c r="E7" s="34" t="s">
        <v>228</v>
      </c>
      <c r="F7" s="34" t="s">
        <v>225</v>
      </c>
      <c r="G7" s="35">
        <v>7.0</v>
      </c>
      <c r="H7" s="15">
        <v>6671.45</v>
      </c>
      <c r="I7" s="15">
        <v>6671.45</v>
      </c>
    </row>
    <row r="8">
      <c r="A8" s="13" t="s">
        <v>229</v>
      </c>
      <c r="H8" s="17">
        <v>6671.45</v>
      </c>
      <c r="I8" s="17">
        <v>6671.45</v>
      </c>
    </row>
    <row r="9">
      <c r="A9" s="13" t="s">
        <v>230</v>
      </c>
    </row>
    <row r="10">
      <c r="B10" s="34" t="s">
        <v>231</v>
      </c>
      <c r="C10" s="34" t="s">
        <v>226</v>
      </c>
      <c r="D10" s="34" t="s">
        <v>232</v>
      </c>
      <c r="E10" s="34" t="s">
        <v>233</v>
      </c>
      <c r="F10" s="34" t="s">
        <v>234</v>
      </c>
      <c r="G10" s="35">
        <v>-24.0</v>
      </c>
      <c r="H10" s="15">
        <v>88.9</v>
      </c>
      <c r="I10" s="15">
        <v>88.9</v>
      </c>
    </row>
    <row r="11">
      <c r="B11" s="34" t="s">
        <v>235</v>
      </c>
      <c r="C11" s="34" t="s">
        <v>226</v>
      </c>
      <c r="D11" s="34">
        <v>3548.0</v>
      </c>
      <c r="E11" s="34" t="s">
        <v>236</v>
      </c>
      <c r="F11" s="34" t="s">
        <v>237</v>
      </c>
      <c r="G11" s="35">
        <v>-25.0</v>
      </c>
      <c r="H11" s="15">
        <v>4761.87</v>
      </c>
      <c r="I11" s="15">
        <v>4761.87</v>
      </c>
    </row>
    <row r="12">
      <c r="A12" s="13" t="s">
        <v>238</v>
      </c>
      <c r="H12" s="17">
        <v>4850.77</v>
      </c>
      <c r="I12" s="17">
        <v>4850.77</v>
      </c>
    </row>
    <row r="13">
      <c r="A13" s="13" t="s">
        <v>124</v>
      </c>
      <c r="H13" s="17">
        <v>11522.22</v>
      </c>
      <c r="I13" s="17">
        <v>11522.22</v>
      </c>
    </row>
    <row r="16">
      <c r="A16" s="19" t="s">
        <v>239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6:I16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4" width="24.0"/>
    <col customWidth="1" min="5" max="5" width="11.13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240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-896.54</f>
        <v>-896.54</v>
      </c>
      <c r="C9" s="15">
        <f>13600</f>
        <v>13600</v>
      </c>
      <c r="D9" s="15">
        <f t="shared" si="1"/>
        <v>-14496.54</v>
      </c>
      <c r="E9" s="16">
        <f t="shared" si="2"/>
        <v>-0.06592205882</v>
      </c>
    </row>
    <row r="10">
      <c r="A10" s="13" t="s">
        <v>18</v>
      </c>
      <c r="B10" s="17">
        <f t="shared" ref="B10:C10" si="3">(B8)+(B9)</f>
        <v>-896.54</v>
      </c>
      <c r="C10" s="17">
        <f t="shared" si="3"/>
        <v>13600</v>
      </c>
      <c r="D10" s="17">
        <f t="shared" si="1"/>
        <v>-14496.54</v>
      </c>
      <c r="E10" s="18">
        <f t="shared" si="2"/>
        <v>-0.06592205882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17">
        <f t="shared" ref="B13:C13" si="4">(B11)+(B12)</f>
        <v>0</v>
      </c>
      <c r="C13" s="17">
        <f t="shared" si="4"/>
        <v>0</v>
      </c>
      <c r="D13" s="17">
        <f t="shared" si="1"/>
        <v>0</v>
      </c>
      <c r="E13" s="18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23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24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25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26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27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28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29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30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31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32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33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34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35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36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37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38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39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40</v>
      </c>
      <c r="B32" s="17">
        <f t="shared" ref="B32:C32" si="8">(((((((((((((((((B14)+(B15))+(B16))+(B17))+(B18))+(B19))+(B20))+(B21))+(B22))+(B23))+(B24))+(B25))+(B26))+(B27))+(B28))+(B29))+(B30))+(B31)</f>
        <v>119958.48</v>
      </c>
      <c r="C32" s="17">
        <f t="shared" si="8"/>
        <v>238603</v>
      </c>
      <c r="D32" s="17">
        <f t="shared" si="1"/>
        <v>-118644.52</v>
      </c>
      <c r="E32" s="18">
        <f t="shared" si="2"/>
        <v>0.502753444</v>
      </c>
    </row>
    <row r="33">
      <c r="A33" s="13" t="s">
        <v>41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42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43</v>
      </c>
      <c r="B35" s="15">
        <f>10243.58</f>
        <v>10243.58</v>
      </c>
      <c r="C35" s="14"/>
      <c r="D35" s="15">
        <f t="shared" si="1"/>
        <v>10243.58</v>
      </c>
      <c r="E35" s="16" t="str">
        <f t="shared" si="2"/>
        <v/>
      </c>
    </row>
    <row r="36">
      <c r="A36" s="13" t="s">
        <v>44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45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46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47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48</v>
      </c>
      <c r="B40" s="17">
        <f t="shared" ref="B40:C40" si="9">((((B35)+(B36))+(B37))+(B38))+(B39)</f>
        <v>39705.79</v>
      </c>
      <c r="C40" s="17">
        <f t="shared" si="9"/>
        <v>163573</v>
      </c>
      <c r="D40" s="17">
        <f t="shared" si="1"/>
        <v>-123867.21</v>
      </c>
      <c r="E40" s="18">
        <f t="shared" si="2"/>
        <v>0.242740489</v>
      </c>
    </row>
    <row r="41">
      <c r="A41" s="13" t="s">
        <v>49</v>
      </c>
      <c r="B41" s="17">
        <f t="shared" ref="B41:C41" si="10">((B33)+(B34))+(B40)</f>
        <v>43463.67</v>
      </c>
      <c r="C41" s="17">
        <f t="shared" si="10"/>
        <v>163573</v>
      </c>
      <c r="D41" s="17">
        <f t="shared" si="1"/>
        <v>-120109.33</v>
      </c>
      <c r="E41" s="18">
        <f t="shared" si="2"/>
        <v>0.2657142071</v>
      </c>
    </row>
    <row r="42">
      <c r="A42" s="13" t="s">
        <v>2</v>
      </c>
      <c r="B42" s="17">
        <f t="shared" ref="B42:C42" si="11">(((B10)+(B13))+(B32))+(B41)</f>
        <v>162525.61</v>
      </c>
      <c r="C42" s="17">
        <f t="shared" si="11"/>
        <v>415776</v>
      </c>
      <c r="D42" s="17">
        <f t="shared" si="1"/>
        <v>-253250.39</v>
      </c>
      <c r="E42" s="18">
        <f t="shared" si="2"/>
        <v>0.3908970455</v>
      </c>
    </row>
    <row r="43">
      <c r="A43" s="13" t="s">
        <v>50</v>
      </c>
      <c r="B43" s="17">
        <f t="shared" ref="B43:C43" si="12">(B42)-(0)</f>
        <v>162525.61</v>
      </c>
      <c r="C43" s="17">
        <f t="shared" si="12"/>
        <v>415776</v>
      </c>
      <c r="D43" s="17">
        <f t="shared" si="1"/>
        <v>-253250.39</v>
      </c>
      <c r="E43" s="18">
        <f t="shared" si="2"/>
        <v>0.3908970455</v>
      </c>
    </row>
    <row r="44">
      <c r="A44" s="13" t="s">
        <v>51</v>
      </c>
      <c r="B44" s="14"/>
      <c r="C44" s="14"/>
      <c r="D44" s="14"/>
      <c r="E44" s="14"/>
    </row>
    <row r="45">
      <c r="A45" s="13" t="s">
        <v>52</v>
      </c>
      <c r="B45" s="14"/>
      <c r="C45" s="14"/>
      <c r="D45" s="15">
        <f t="shared" ref="D45:D107" si="13">(B45)-(C45)</f>
        <v>0</v>
      </c>
      <c r="E45" s="16" t="str">
        <f t="shared" ref="E45:E107" si="14">IF(C45=0,"",(B45)/(C45))</f>
        <v/>
      </c>
    </row>
    <row r="46">
      <c r="A46" s="13" t="s">
        <v>53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54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55</v>
      </c>
      <c r="B48" s="15">
        <f>6422</f>
        <v>6422</v>
      </c>
      <c r="C48" s="15">
        <f>18000</f>
        <v>18000</v>
      </c>
      <c r="D48" s="15">
        <f t="shared" si="13"/>
        <v>-11578</v>
      </c>
      <c r="E48" s="16">
        <f t="shared" si="14"/>
        <v>0.3567777778</v>
      </c>
    </row>
    <row r="49">
      <c r="A49" s="13" t="s">
        <v>56</v>
      </c>
      <c r="B49" s="17">
        <f t="shared" ref="B49:C49" si="16">((B46)+(B47))+(B48)</f>
        <v>9422</v>
      </c>
      <c r="C49" s="17">
        <f t="shared" si="16"/>
        <v>21000</v>
      </c>
      <c r="D49" s="17">
        <f t="shared" si="13"/>
        <v>-11578</v>
      </c>
      <c r="E49" s="18">
        <f t="shared" si="14"/>
        <v>0.4486666667</v>
      </c>
    </row>
    <row r="50">
      <c r="A50" s="13" t="s">
        <v>57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58</v>
      </c>
      <c r="B51" s="15">
        <f>0</f>
        <v>0</v>
      </c>
      <c r="C51" s="14"/>
      <c r="D51" s="15">
        <f t="shared" si="13"/>
        <v>0</v>
      </c>
      <c r="E51" s="16" t="str">
        <f t="shared" si="14"/>
        <v/>
      </c>
    </row>
    <row r="52">
      <c r="A52" s="13" t="s">
        <v>59</v>
      </c>
      <c r="B52" s="14"/>
      <c r="C52" s="15">
        <f>600</f>
        <v>600</v>
      </c>
      <c r="D52" s="15">
        <f t="shared" si="13"/>
        <v>-600</v>
      </c>
      <c r="E52" s="16">
        <f t="shared" si="14"/>
        <v>0</v>
      </c>
    </row>
    <row r="53">
      <c r="A53" s="13" t="s">
        <v>60</v>
      </c>
      <c r="B53" s="15">
        <f>127.99</f>
        <v>127.99</v>
      </c>
      <c r="C53" s="15">
        <f>6400</f>
        <v>6400</v>
      </c>
      <c r="D53" s="15">
        <f t="shared" si="13"/>
        <v>-6272.01</v>
      </c>
      <c r="E53" s="16">
        <f t="shared" si="14"/>
        <v>0.0199984375</v>
      </c>
    </row>
    <row r="54">
      <c r="A54" s="13" t="s">
        <v>61</v>
      </c>
      <c r="B54" s="15">
        <f>3328.32</f>
        <v>3328.32</v>
      </c>
      <c r="C54" s="15">
        <f>6000</f>
        <v>6000</v>
      </c>
      <c r="D54" s="15">
        <f t="shared" si="13"/>
        <v>-2671.68</v>
      </c>
      <c r="E54" s="16">
        <f t="shared" si="14"/>
        <v>0.55472</v>
      </c>
    </row>
    <row r="55">
      <c r="A55" s="13" t="s">
        <v>62</v>
      </c>
      <c r="B55" s="15">
        <f>1637.75</f>
        <v>1637.75</v>
      </c>
      <c r="C55" s="15">
        <f>15600</f>
        <v>15600</v>
      </c>
      <c r="D55" s="15">
        <f t="shared" si="13"/>
        <v>-13962.25</v>
      </c>
      <c r="E55" s="16">
        <f t="shared" si="14"/>
        <v>0.1049839744</v>
      </c>
    </row>
    <row r="56">
      <c r="A56" s="13" t="s">
        <v>63</v>
      </c>
      <c r="B56" s="15">
        <f>1484.7</f>
        <v>1484.7</v>
      </c>
      <c r="C56" s="15">
        <f>2200</f>
        <v>2200</v>
      </c>
      <c r="D56" s="15">
        <f t="shared" si="13"/>
        <v>-715.3</v>
      </c>
      <c r="E56" s="16">
        <f t="shared" si="14"/>
        <v>0.6748636364</v>
      </c>
    </row>
    <row r="57">
      <c r="A57" s="13" t="s">
        <v>64</v>
      </c>
      <c r="B57" s="14"/>
      <c r="C57" s="15">
        <f>100</f>
        <v>100</v>
      </c>
      <c r="D57" s="15">
        <f t="shared" si="13"/>
        <v>-100</v>
      </c>
      <c r="E57" s="16">
        <f t="shared" si="14"/>
        <v>0</v>
      </c>
    </row>
    <row r="58">
      <c r="A58" s="13" t="s">
        <v>65</v>
      </c>
      <c r="B58" s="15">
        <f>18.17</f>
        <v>18.17</v>
      </c>
      <c r="C58" s="15">
        <f>300</f>
        <v>300</v>
      </c>
      <c r="D58" s="15">
        <f t="shared" si="13"/>
        <v>-281.83</v>
      </c>
      <c r="E58" s="16">
        <f t="shared" si="14"/>
        <v>0.06056666667</v>
      </c>
    </row>
    <row r="59">
      <c r="A59" s="13" t="s">
        <v>66</v>
      </c>
      <c r="B59" s="15">
        <f>1176.25</f>
        <v>1176.25</v>
      </c>
      <c r="C59" s="14"/>
      <c r="D59" s="15">
        <f t="shared" si="13"/>
        <v>1176.25</v>
      </c>
      <c r="E59" s="16" t="str">
        <f t="shared" si="14"/>
        <v/>
      </c>
    </row>
    <row r="60">
      <c r="A60" s="13" t="s">
        <v>67</v>
      </c>
      <c r="B60" s="15">
        <f>395.24</f>
        <v>395.24</v>
      </c>
      <c r="C60" s="15">
        <f>1251</f>
        <v>1251</v>
      </c>
      <c r="D60" s="15">
        <f t="shared" si="13"/>
        <v>-855.76</v>
      </c>
      <c r="E60" s="16">
        <f t="shared" si="14"/>
        <v>0.3159392486</v>
      </c>
    </row>
    <row r="61">
      <c r="A61" s="13" t="s">
        <v>68</v>
      </c>
      <c r="B61" s="15">
        <f>88</f>
        <v>88</v>
      </c>
      <c r="C61" s="15">
        <f>240</f>
        <v>240</v>
      </c>
      <c r="D61" s="15">
        <f t="shared" si="13"/>
        <v>-152</v>
      </c>
      <c r="E61" s="16">
        <f t="shared" si="14"/>
        <v>0.3666666667</v>
      </c>
    </row>
    <row r="62">
      <c r="A62" s="13" t="s">
        <v>69</v>
      </c>
      <c r="B62" s="14"/>
      <c r="C62" s="14"/>
      <c r="D62" s="15">
        <f t="shared" si="13"/>
        <v>0</v>
      </c>
      <c r="E62" s="16" t="str">
        <f t="shared" si="14"/>
        <v/>
      </c>
    </row>
    <row r="63">
      <c r="A63" s="13" t="s">
        <v>70</v>
      </c>
      <c r="B63" s="15">
        <f>680.75</f>
        <v>680.75</v>
      </c>
      <c r="C63" s="15">
        <f>1000</f>
        <v>1000</v>
      </c>
      <c r="D63" s="15">
        <f t="shared" si="13"/>
        <v>-319.25</v>
      </c>
      <c r="E63" s="16">
        <f t="shared" si="14"/>
        <v>0.68075</v>
      </c>
    </row>
    <row r="64">
      <c r="A64" s="13" t="s">
        <v>71</v>
      </c>
      <c r="B64" s="15">
        <f>803.92</f>
        <v>803.92</v>
      </c>
      <c r="C64" s="14"/>
      <c r="D64" s="15">
        <f t="shared" si="13"/>
        <v>803.92</v>
      </c>
      <c r="E64" s="16" t="str">
        <f t="shared" si="14"/>
        <v/>
      </c>
    </row>
    <row r="65">
      <c r="A65" s="13" t="s">
        <v>72</v>
      </c>
      <c r="B65" s="17">
        <f t="shared" ref="B65:C65" si="17">((B62)+(B63))+(B64)</f>
        <v>1484.67</v>
      </c>
      <c r="C65" s="17">
        <f t="shared" si="17"/>
        <v>1000</v>
      </c>
      <c r="D65" s="17">
        <f t="shared" si="13"/>
        <v>484.67</v>
      </c>
      <c r="E65" s="18">
        <f t="shared" si="14"/>
        <v>1.48467</v>
      </c>
    </row>
    <row r="66">
      <c r="A66" s="13" t="s">
        <v>73</v>
      </c>
      <c r="B66" s="15">
        <f>340</f>
        <v>340</v>
      </c>
      <c r="C66" s="15">
        <f>2500</f>
        <v>2500</v>
      </c>
      <c r="D66" s="15">
        <f t="shared" si="13"/>
        <v>-2160</v>
      </c>
      <c r="E66" s="16">
        <f t="shared" si="14"/>
        <v>0.136</v>
      </c>
    </row>
    <row r="67">
      <c r="A67" s="13" t="s">
        <v>74</v>
      </c>
      <c r="B67" s="17">
        <f t="shared" ref="B67:C67" si="18">(((((((((((((((B45)+(B49))+(B50))+(B51))+(B52))+(B53))+(B54))+(B55))+(B56))+(B57))+(B58))+(B59))+(B60))+(B61))+(B65))+(B66)</f>
        <v>19668.09</v>
      </c>
      <c r="C67" s="17">
        <f t="shared" si="18"/>
        <v>57191</v>
      </c>
      <c r="D67" s="17">
        <f t="shared" si="13"/>
        <v>-37522.91</v>
      </c>
      <c r="E67" s="18">
        <f t="shared" si="14"/>
        <v>0.3439018377</v>
      </c>
    </row>
    <row r="68">
      <c r="A68" s="13" t="s">
        <v>75</v>
      </c>
      <c r="B68" s="15">
        <f>188.73</f>
        <v>188.73</v>
      </c>
      <c r="C68" s="14"/>
      <c r="D68" s="15">
        <f t="shared" si="13"/>
        <v>188.73</v>
      </c>
      <c r="E68" s="16" t="str">
        <f t="shared" si="14"/>
        <v/>
      </c>
    </row>
    <row r="69">
      <c r="A69" s="13" t="s">
        <v>76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77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78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79</v>
      </c>
      <c r="B72" s="14"/>
      <c r="C72" s="15">
        <f>0</f>
        <v>0</v>
      </c>
      <c r="D72" s="15">
        <f t="shared" si="13"/>
        <v>0</v>
      </c>
      <c r="E72" s="16" t="str">
        <f t="shared" si="14"/>
        <v/>
      </c>
    </row>
    <row r="73">
      <c r="A73" s="13" t="s">
        <v>80</v>
      </c>
      <c r="B73" s="14"/>
      <c r="C73" s="15">
        <f>24000</f>
        <v>24000</v>
      </c>
      <c r="D73" s="15">
        <f t="shared" si="13"/>
        <v>-24000</v>
      </c>
      <c r="E73" s="16">
        <f t="shared" si="14"/>
        <v>0</v>
      </c>
    </row>
    <row r="74">
      <c r="A74" s="13" t="s">
        <v>81</v>
      </c>
      <c r="B74" s="14"/>
      <c r="C74" s="15">
        <f>12000</f>
        <v>12000</v>
      </c>
      <c r="D74" s="15">
        <f t="shared" si="13"/>
        <v>-12000</v>
      </c>
      <c r="E74" s="16">
        <f t="shared" si="14"/>
        <v>0</v>
      </c>
    </row>
    <row r="75">
      <c r="A75" s="13" t="s">
        <v>82</v>
      </c>
      <c r="B75" s="14"/>
      <c r="C75" s="15">
        <f>4319</f>
        <v>4319</v>
      </c>
      <c r="D75" s="15">
        <f t="shared" si="13"/>
        <v>-4319</v>
      </c>
      <c r="E75" s="16">
        <f t="shared" si="14"/>
        <v>0</v>
      </c>
    </row>
    <row r="76">
      <c r="A76" s="13" t="s">
        <v>83</v>
      </c>
      <c r="B76" s="14"/>
      <c r="C76" s="15">
        <f>4318</f>
        <v>4318</v>
      </c>
      <c r="D76" s="15">
        <f t="shared" si="13"/>
        <v>-4318</v>
      </c>
      <c r="E76" s="16">
        <f t="shared" si="14"/>
        <v>0</v>
      </c>
    </row>
    <row r="77">
      <c r="A77" s="13" t="s">
        <v>84</v>
      </c>
      <c r="B77" s="15">
        <f>2555.07</f>
        <v>2555.07</v>
      </c>
      <c r="C77" s="15">
        <f>31558</f>
        <v>31558</v>
      </c>
      <c r="D77" s="15">
        <f t="shared" si="13"/>
        <v>-29002.93</v>
      </c>
      <c r="E77" s="16">
        <f t="shared" si="14"/>
        <v>0.08096425629</v>
      </c>
    </row>
    <row r="78">
      <c r="A78" s="13" t="s">
        <v>86</v>
      </c>
      <c r="B78" s="14"/>
      <c r="C78" s="15">
        <f>4334</f>
        <v>4334</v>
      </c>
      <c r="D78" s="15">
        <f t="shared" si="13"/>
        <v>-4334</v>
      </c>
      <c r="E78" s="16">
        <f t="shared" si="14"/>
        <v>0</v>
      </c>
    </row>
    <row r="79">
      <c r="A79" s="13" t="s">
        <v>87</v>
      </c>
      <c r="B79" s="14"/>
      <c r="C79" s="15">
        <f>4313</f>
        <v>4313</v>
      </c>
      <c r="D79" s="15">
        <f t="shared" si="13"/>
        <v>-4313</v>
      </c>
      <c r="E79" s="16">
        <f t="shared" si="14"/>
        <v>0</v>
      </c>
    </row>
    <row r="80">
      <c r="A80" s="13" t="s">
        <v>88</v>
      </c>
      <c r="B80" s="14"/>
      <c r="C80" s="15">
        <f>4317</f>
        <v>4317</v>
      </c>
      <c r="D80" s="15">
        <f t="shared" si="13"/>
        <v>-4317</v>
      </c>
      <c r="E80" s="16">
        <f t="shared" si="14"/>
        <v>0</v>
      </c>
    </row>
    <row r="81">
      <c r="A81" s="13" t="s">
        <v>89</v>
      </c>
      <c r="B81" s="15">
        <f>164.06</f>
        <v>164.06</v>
      </c>
      <c r="C81" s="15">
        <f t="shared" ref="C81:C82" si="19">16282</f>
        <v>16282</v>
      </c>
      <c r="D81" s="15">
        <f t="shared" si="13"/>
        <v>-16117.94</v>
      </c>
      <c r="E81" s="16">
        <f t="shared" si="14"/>
        <v>0.01007615772</v>
      </c>
    </row>
    <row r="82">
      <c r="A82" s="13" t="s">
        <v>90</v>
      </c>
      <c r="B82" s="15">
        <f>328.12</f>
        <v>328.12</v>
      </c>
      <c r="C82" s="15">
        <f t="shared" si="19"/>
        <v>16282</v>
      </c>
      <c r="D82" s="15">
        <f t="shared" si="13"/>
        <v>-15953.88</v>
      </c>
      <c r="E82" s="16">
        <f t="shared" si="14"/>
        <v>0.02015231544</v>
      </c>
    </row>
    <row r="83">
      <c r="A83" s="13" t="s">
        <v>91</v>
      </c>
      <c r="B83" s="14"/>
      <c r="C83" s="15">
        <f>8150</f>
        <v>8150</v>
      </c>
      <c r="D83" s="15">
        <f t="shared" si="13"/>
        <v>-8150</v>
      </c>
      <c r="E83" s="16">
        <f t="shared" si="14"/>
        <v>0</v>
      </c>
    </row>
    <row r="84">
      <c r="A84" s="13" t="s">
        <v>92</v>
      </c>
      <c r="B84" s="14"/>
      <c r="C84" s="15">
        <f>8154</f>
        <v>8154</v>
      </c>
      <c r="D84" s="15">
        <f t="shared" si="13"/>
        <v>-8154</v>
      </c>
      <c r="E84" s="16">
        <f t="shared" si="14"/>
        <v>0</v>
      </c>
    </row>
    <row r="85">
      <c r="A85" s="13" t="s">
        <v>93</v>
      </c>
      <c r="B85" s="14"/>
      <c r="C85" s="15">
        <f>4318</f>
        <v>4318</v>
      </c>
      <c r="D85" s="15">
        <f t="shared" si="13"/>
        <v>-4318</v>
      </c>
      <c r="E85" s="16">
        <f t="shared" si="14"/>
        <v>0</v>
      </c>
    </row>
    <row r="86">
      <c r="A86" s="13" t="s">
        <v>94</v>
      </c>
      <c r="B86" s="17">
        <f t="shared" ref="B86:C86" si="20">((((((((((((((B71)+(B72))+(B73))+(B74))+(B75))+(B76))+(B77))+(B78))+(B79))+(B80))+(B81))+(B82))+(B83))+(B84))+(B85)</f>
        <v>3047.25</v>
      </c>
      <c r="C86" s="17">
        <f t="shared" si="20"/>
        <v>142345</v>
      </c>
      <c r="D86" s="17">
        <f t="shared" si="13"/>
        <v>-139297.75</v>
      </c>
      <c r="E86" s="18">
        <f t="shared" si="14"/>
        <v>0.02140749587</v>
      </c>
    </row>
    <row r="87">
      <c r="A87" s="13" t="s">
        <v>95</v>
      </c>
      <c r="B87" s="17">
        <f t="shared" ref="B87:C87" si="21">(B70)+(B86)</f>
        <v>3047.25</v>
      </c>
      <c r="C87" s="17">
        <f t="shared" si="21"/>
        <v>142345</v>
      </c>
      <c r="D87" s="17">
        <f t="shared" si="13"/>
        <v>-139297.75</v>
      </c>
      <c r="E87" s="18">
        <f t="shared" si="14"/>
        <v>0.02140749587</v>
      </c>
    </row>
    <row r="88">
      <c r="A88" s="13" t="s">
        <v>96</v>
      </c>
      <c r="B88" s="14"/>
      <c r="C88" s="15">
        <f>5895</f>
        <v>5895</v>
      </c>
      <c r="D88" s="15">
        <f t="shared" si="13"/>
        <v>-5895</v>
      </c>
      <c r="E88" s="16">
        <f t="shared" si="14"/>
        <v>0</v>
      </c>
    </row>
    <row r="89">
      <c r="A89" s="13" t="s">
        <v>97</v>
      </c>
      <c r="B89" s="15">
        <f>18909.88</f>
        <v>18909.88</v>
      </c>
      <c r="C89" s="14"/>
      <c r="D89" s="15">
        <f t="shared" si="13"/>
        <v>18909.88</v>
      </c>
      <c r="E89" s="16" t="str">
        <f t="shared" si="14"/>
        <v/>
      </c>
    </row>
    <row r="90">
      <c r="A90" s="13" t="s">
        <v>98</v>
      </c>
      <c r="B90" s="14"/>
      <c r="C90" s="14"/>
      <c r="D90" s="15">
        <f t="shared" si="13"/>
        <v>0</v>
      </c>
      <c r="E90" s="16" t="str">
        <f t="shared" si="14"/>
        <v/>
      </c>
    </row>
    <row r="91">
      <c r="A91" s="13" t="s">
        <v>99</v>
      </c>
      <c r="B91" s="15">
        <f>36618.07</f>
        <v>36618.07</v>
      </c>
      <c r="C91" s="15">
        <f>100000</f>
        <v>100000</v>
      </c>
      <c r="D91" s="15">
        <f t="shared" si="13"/>
        <v>-63381.93</v>
      </c>
      <c r="E91" s="16">
        <f t="shared" si="14"/>
        <v>0.3661807</v>
      </c>
    </row>
    <row r="92">
      <c r="A92" s="13" t="s">
        <v>100</v>
      </c>
      <c r="B92" s="14"/>
      <c r="C92" s="15">
        <f>36703</f>
        <v>36703</v>
      </c>
      <c r="D92" s="15">
        <f t="shared" si="13"/>
        <v>-36703</v>
      </c>
      <c r="E92" s="16">
        <f t="shared" si="14"/>
        <v>0</v>
      </c>
    </row>
    <row r="93">
      <c r="A93" s="13" t="s">
        <v>101</v>
      </c>
      <c r="B93" s="14"/>
      <c r="C93" s="14"/>
      <c r="D93" s="15">
        <f t="shared" si="13"/>
        <v>0</v>
      </c>
      <c r="E93" s="16" t="str">
        <f t="shared" si="14"/>
        <v/>
      </c>
    </row>
    <row r="94">
      <c r="A94" s="13" t="s">
        <v>241</v>
      </c>
      <c r="B94" s="15">
        <f>497.45</f>
        <v>497.45</v>
      </c>
      <c r="C94" s="14"/>
      <c r="D94" s="15">
        <f t="shared" si="13"/>
        <v>497.45</v>
      </c>
      <c r="E94" s="16" t="str">
        <f t="shared" si="14"/>
        <v/>
      </c>
    </row>
    <row r="95">
      <c r="A95" s="13" t="s">
        <v>104</v>
      </c>
      <c r="B95" s="15">
        <f>74.52</f>
        <v>74.52</v>
      </c>
      <c r="C95" s="14"/>
      <c r="D95" s="15">
        <f t="shared" si="13"/>
        <v>74.52</v>
      </c>
      <c r="E95" s="16" t="str">
        <f t="shared" si="14"/>
        <v/>
      </c>
    </row>
    <row r="96">
      <c r="A96" s="13" t="s">
        <v>105</v>
      </c>
      <c r="B96" s="17">
        <f t="shared" ref="B96:C96" si="22">((B93)+(B94))+(B95)</f>
        <v>571.97</v>
      </c>
      <c r="C96" s="17">
        <f t="shared" si="22"/>
        <v>0</v>
      </c>
      <c r="D96" s="17">
        <f t="shared" si="13"/>
        <v>571.97</v>
      </c>
      <c r="E96" s="18" t="str">
        <f t="shared" si="14"/>
        <v/>
      </c>
    </row>
    <row r="97">
      <c r="A97" s="13" t="s">
        <v>106</v>
      </c>
      <c r="B97" s="15">
        <f>55</f>
        <v>55</v>
      </c>
      <c r="C97" s="14"/>
      <c r="D97" s="15">
        <f t="shared" si="13"/>
        <v>55</v>
      </c>
      <c r="E97" s="16" t="str">
        <f t="shared" si="14"/>
        <v/>
      </c>
    </row>
    <row r="98">
      <c r="A98" s="13" t="s">
        <v>107</v>
      </c>
      <c r="B98" s="15">
        <f>4378.09</f>
        <v>4378.09</v>
      </c>
      <c r="C98" s="14"/>
      <c r="D98" s="15">
        <f t="shared" si="13"/>
        <v>4378.09</v>
      </c>
      <c r="E98" s="16" t="str">
        <f t="shared" si="14"/>
        <v/>
      </c>
    </row>
    <row r="99">
      <c r="A99" s="13" t="s">
        <v>108</v>
      </c>
      <c r="B99" s="15">
        <f>506.25</f>
        <v>506.25</v>
      </c>
      <c r="C99" s="14"/>
      <c r="D99" s="15">
        <f t="shared" si="13"/>
        <v>506.25</v>
      </c>
      <c r="E99" s="16" t="str">
        <f t="shared" si="14"/>
        <v/>
      </c>
    </row>
    <row r="100">
      <c r="A100" s="13" t="s">
        <v>109</v>
      </c>
      <c r="B100" s="15">
        <f>840.7</f>
        <v>840.7</v>
      </c>
      <c r="C100" s="14"/>
      <c r="D100" s="15">
        <f t="shared" si="13"/>
        <v>840.7</v>
      </c>
      <c r="E100" s="16" t="str">
        <f t="shared" si="14"/>
        <v/>
      </c>
    </row>
    <row r="101">
      <c r="A101" s="13" t="s">
        <v>110</v>
      </c>
      <c r="B101" s="17">
        <f t="shared" ref="B101:C101" si="23">(((((((B90)+(B91))+(B92))+(B96))+(B97))+(B98))+(B99))+(B100)</f>
        <v>42970.08</v>
      </c>
      <c r="C101" s="17">
        <f t="shared" si="23"/>
        <v>136703</v>
      </c>
      <c r="D101" s="17">
        <f t="shared" si="13"/>
        <v>-93732.92</v>
      </c>
      <c r="E101" s="18">
        <f t="shared" si="14"/>
        <v>0.3143316533</v>
      </c>
    </row>
    <row r="102">
      <c r="A102" s="13" t="s">
        <v>111</v>
      </c>
      <c r="B102" s="15">
        <f>27.93</f>
        <v>27.93</v>
      </c>
      <c r="C102" s="14"/>
      <c r="D102" s="15">
        <f t="shared" si="13"/>
        <v>27.93</v>
      </c>
      <c r="E102" s="16" t="str">
        <f t="shared" si="14"/>
        <v/>
      </c>
    </row>
    <row r="103">
      <c r="A103" s="13" t="s">
        <v>112</v>
      </c>
      <c r="B103" s="17">
        <f t="shared" ref="B103:C103" si="24">((B89)+(B101))+(B102)</f>
        <v>61907.89</v>
      </c>
      <c r="C103" s="17">
        <f t="shared" si="24"/>
        <v>136703</v>
      </c>
      <c r="D103" s="17">
        <f t="shared" si="13"/>
        <v>-74795.11</v>
      </c>
      <c r="E103" s="18">
        <f t="shared" si="14"/>
        <v>0.4528641654</v>
      </c>
    </row>
    <row r="104">
      <c r="A104" s="13" t="s">
        <v>113</v>
      </c>
      <c r="B104" s="17">
        <f t="shared" ref="B104:C104" si="25">(((B69)+(B87))+(B88))+(B103)</f>
        <v>64955.14</v>
      </c>
      <c r="C104" s="17">
        <f t="shared" si="25"/>
        <v>284943</v>
      </c>
      <c r="D104" s="17">
        <f t="shared" si="13"/>
        <v>-219987.86</v>
      </c>
      <c r="E104" s="18">
        <f t="shared" si="14"/>
        <v>0.2279583636</v>
      </c>
    </row>
    <row r="105">
      <c r="A105" s="13" t="s">
        <v>114</v>
      </c>
      <c r="B105" s="17">
        <f t="shared" ref="B105:C105" si="26">((B67)+(B68))+(B104)</f>
        <v>84811.96</v>
      </c>
      <c r="C105" s="17">
        <f t="shared" si="26"/>
        <v>342134</v>
      </c>
      <c r="D105" s="17">
        <f t="shared" si="13"/>
        <v>-257322.04</v>
      </c>
      <c r="E105" s="18">
        <f t="shared" si="14"/>
        <v>0.2478910602</v>
      </c>
    </row>
    <row r="106">
      <c r="A106" s="13" t="s">
        <v>115</v>
      </c>
      <c r="B106" s="17">
        <f t="shared" ref="B106:C106" si="27">(B43)-(B105)</f>
        <v>77713.65</v>
      </c>
      <c r="C106" s="17">
        <f t="shared" si="27"/>
        <v>73642</v>
      </c>
      <c r="D106" s="17">
        <f t="shared" si="13"/>
        <v>4071.65</v>
      </c>
      <c r="E106" s="18">
        <f t="shared" si="14"/>
        <v>1.05528978</v>
      </c>
    </row>
    <row r="107">
      <c r="A107" s="13" t="s">
        <v>4</v>
      </c>
      <c r="B107" s="17">
        <f t="shared" ref="B107:C107" si="28">(B106)+(0)</f>
        <v>77713.65</v>
      </c>
      <c r="C107" s="17">
        <f t="shared" si="28"/>
        <v>73642</v>
      </c>
      <c r="D107" s="17">
        <f t="shared" si="13"/>
        <v>4071.65</v>
      </c>
      <c r="E107" s="18">
        <f t="shared" si="14"/>
        <v>1.05528978</v>
      </c>
    </row>
    <row r="108">
      <c r="A108" s="13"/>
      <c r="B108" s="14"/>
      <c r="C108" s="14"/>
      <c r="D108" s="14"/>
      <c r="E108" s="14"/>
    </row>
    <row r="109"/>
    <row r="110"/>
    <row r="111">
      <c r="A111" s="19" t="s">
        <v>242</v>
      </c>
    </row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1:E111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117</v>
      </c>
    </row>
    <row r="3">
      <c r="A3" s="9" t="s">
        <v>240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8" si="1">((((B7)+(C7))+(D7))+(E7))+(F7)</f>
        <v>0</v>
      </c>
    </row>
    <row r="8">
      <c r="A8" s="13" t="s">
        <v>17</v>
      </c>
      <c r="B8" s="15">
        <f>-896.54</f>
        <v>-896.54</v>
      </c>
      <c r="C8" s="14"/>
      <c r="D8" s="14"/>
      <c r="E8" s="14"/>
      <c r="F8" s="14"/>
      <c r="G8" s="15">
        <f t="shared" si="1"/>
        <v>-896.54</v>
      </c>
    </row>
    <row r="9">
      <c r="A9" s="13" t="s">
        <v>18</v>
      </c>
      <c r="B9" s="17">
        <f t="shared" ref="B9:F9" si="2">(B7)+(B8)</f>
        <v>-896.54</v>
      </c>
      <c r="C9" s="17">
        <f t="shared" si="2"/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1"/>
        <v>-896.54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17">
        <f t="shared" ref="B12:F12" si="3">(B10)+(B11)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17">
        <f t="shared" ref="B28:F28" si="6">((((((((((((((B13)+(B14))+(B15))+(B16))+(B17))+(B18))+(B19))+(B20))+(B21))+(B22))+(B23))+(B24))+(B25))+(B26))+(B27)</f>
        <v>0</v>
      </c>
      <c r="C28" s="17">
        <f t="shared" si="6"/>
        <v>0</v>
      </c>
      <c r="D28" s="17">
        <f t="shared" si="6"/>
        <v>119958.48</v>
      </c>
      <c r="E28" s="17">
        <f t="shared" si="6"/>
        <v>0</v>
      </c>
      <c r="F28" s="17">
        <f t="shared" si="6"/>
        <v>0</v>
      </c>
      <c r="G28" s="17">
        <f t="shared" si="1"/>
        <v>119958.48</v>
      </c>
    </row>
    <row r="29">
      <c r="A29" s="13" t="s">
        <v>41</v>
      </c>
      <c r="B29" s="14"/>
      <c r="C29" s="14"/>
      <c r="D29" s="14"/>
      <c r="E29" s="14"/>
      <c r="F29" s="14"/>
      <c r="G29" s="15">
        <f t="shared" si="1"/>
        <v>0</v>
      </c>
    </row>
    <row r="30">
      <c r="A30" s="13" t="s">
        <v>42</v>
      </c>
      <c r="B30" s="14"/>
      <c r="C30" s="15">
        <f>3757.88</f>
        <v>3757.88</v>
      </c>
      <c r="D30" s="14"/>
      <c r="E30" s="14"/>
      <c r="F30" s="14"/>
      <c r="G30" s="15">
        <f t="shared" si="1"/>
        <v>3757.88</v>
      </c>
    </row>
    <row r="31">
      <c r="A31" s="13" t="s">
        <v>43</v>
      </c>
      <c r="B31" s="14"/>
      <c r="C31" s="15">
        <f>10243.58</f>
        <v>10243.58</v>
      </c>
      <c r="D31" s="14"/>
      <c r="E31" s="14"/>
      <c r="F31" s="14"/>
      <c r="G31" s="15">
        <f t="shared" si="1"/>
        <v>10243.58</v>
      </c>
    </row>
    <row r="32">
      <c r="A32" s="13" t="s">
        <v>44</v>
      </c>
      <c r="B32" s="14"/>
      <c r="C32" s="14"/>
      <c r="D32" s="14"/>
      <c r="E32" s="15">
        <f>25898.36</f>
        <v>25898.36</v>
      </c>
      <c r="F32" s="14"/>
      <c r="G32" s="15">
        <f t="shared" si="1"/>
        <v>25898.36</v>
      </c>
    </row>
    <row r="33">
      <c r="A33" s="13" t="s">
        <v>46</v>
      </c>
      <c r="B33" s="14"/>
      <c r="C33" s="15">
        <f>2665.14</f>
        <v>2665.14</v>
      </c>
      <c r="D33" s="14"/>
      <c r="E33" s="14"/>
      <c r="F33" s="14"/>
      <c r="G33" s="15">
        <f t="shared" si="1"/>
        <v>2665.14</v>
      </c>
    </row>
    <row r="34">
      <c r="A34" s="13" t="s">
        <v>47</v>
      </c>
      <c r="B34" s="14"/>
      <c r="C34" s="15">
        <f>898.71</f>
        <v>898.71</v>
      </c>
      <c r="D34" s="14"/>
      <c r="E34" s="14"/>
      <c r="F34" s="14"/>
      <c r="G34" s="15">
        <f t="shared" si="1"/>
        <v>898.71</v>
      </c>
    </row>
    <row r="35">
      <c r="A35" s="13" t="s">
        <v>48</v>
      </c>
      <c r="B35" s="17">
        <f t="shared" ref="B35:F35" si="7">(((B31)+(B32))+(B33))+(B34)</f>
        <v>0</v>
      </c>
      <c r="C35" s="17">
        <f t="shared" si="7"/>
        <v>13807.43</v>
      </c>
      <c r="D35" s="17">
        <f t="shared" si="7"/>
        <v>0</v>
      </c>
      <c r="E35" s="17">
        <f t="shared" si="7"/>
        <v>25898.36</v>
      </c>
      <c r="F35" s="17">
        <f t="shared" si="7"/>
        <v>0</v>
      </c>
      <c r="G35" s="17">
        <f t="shared" si="1"/>
        <v>39705.79</v>
      </c>
    </row>
    <row r="36">
      <c r="A36" s="13" t="s">
        <v>49</v>
      </c>
      <c r="B36" s="17">
        <f t="shared" ref="B36:F36" si="8">((B29)+(B30))+(B35)</f>
        <v>0</v>
      </c>
      <c r="C36" s="17">
        <f t="shared" si="8"/>
        <v>17565.31</v>
      </c>
      <c r="D36" s="17">
        <f t="shared" si="8"/>
        <v>0</v>
      </c>
      <c r="E36" s="17">
        <f t="shared" si="8"/>
        <v>25898.36</v>
      </c>
      <c r="F36" s="17">
        <f t="shared" si="8"/>
        <v>0</v>
      </c>
      <c r="G36" s="17">
        <f t="shared" si="1"/>
        <v>43463.67</v>
      </c>
    </row>
    <row r="37">
      <c r="A37" s="13" t="s">
        <v>2</v>
      </c>
      <c r="B37" s="17">
        <f t="shared" ref="B37:F37" si="9">(((B9)+(B12))+(B28))+(B36)</f>
        <v>-896.54</v>
      </c>
      <c r="C37" s="17">
        <f t="shared" si="9"/>
        <v>17565.31</v>
      </c>
      <c r="D37" s="17">
        <f t="shared" si="9"/>
        <v>119958.48</v>
      </c>
      <c r="E37" s="17">
        <f t="shared" si="9"/>
        <v>25898.36</v>
      </c>
      <c r="F37" s="17">
        <f t="shared" si="9"/>
        <v>0</v>
      </c>
      <c r="G37" s="17">
        <f t="shared" si="1"/>
        <v>162525.61</v>
      </c>
    </row>
    <row r="38">
      <c r="A38" s="36" t="s">
        <v>50</v>
      </c>
      <c r="B38" s="37">
        <f t="shared" ref="B38:F38" si="10">(B37)-(0)</f>
        <v>-896.54</v>
      </c>
      <c r="C38" s="37">
        <f t="shared" si="10"/>
        <v>17565.31</v>
      </c>
      <c r="D38" s="37">
        <f t="shared" si="10"/>
        <v>119958.48</v>
      </c>
      <c r="E38" s="37">
        <f t="shared" si="10"/>
        <v>25898.36</v>
      </c>
      <c r="F38" s="37">
        <f t="shared" si="10"/>
        <v>0</v>
      </c>
      <c r="G38" s="37">
        <f t="shared" si="1"/>
        <v>162525.61</v>
      </c>
    </row>
    <row r="39">
      <c r="A39" s="13" t="s">
        <v>51</v>
      </c>
      <c r="B39" s="14"/>
      <c r="C39" s="14"/>
      <c r="D39" s="14"/>
      <c r="E39" s="14"/>
      <c r="F39" s="14"/>
      <c r="G39" s="14"/>
    </row>
    <row r="40">
      <c r="A40" s="13" t="s">
        <v>52</v>
      </c>
      <c r="B40" s="14"/>
      <c r="C40" s="14"/>
      <c r="D40" s="14"/>
      <c r="E40" s="14"/>
      <c r="F40" s="14"/>
      <c r="G40" s="15">
        <f t="shared" ref="G40:G87" si="11">((((B40)+(C40))+(D40))+(E40))+(F40)</f>
        <v>0</v>
      </c>
    </row>
    <row r="41">
      <c r="A41" s="13" t="s">
        <v>53</v>
      </c>
      <c r="B41" s="14"/>
      <c r="C41" s="14"/>
      <c r="D41" s="14"/>
      <c r="E41" s="14"/>
      <c r="F41" s="14"/>
      <c r="G41" s="15">
        <f t="shared" si="11"/>
        <v>0</v>
      </c>
    </row>
    <row r="42">
      <c r="A42" s="13" t="s">
        <v>54</v>
      </c>
      <c r="B42" s="15">
        <f>3000</f>
        <v>3000</v>
      </c>
      <c r="C42" s="14"/>
      <c r="D42" s="14"/>
      <c r="E42" s="14"/>
      <c r="F42" s="14"/>
      <c r="G42" s="15">
        <f t="shared" si="11"/>
        <v>3000</v>
      </c>
    </row>
    <row r="43">
      <c r="A43" s="13" t="s">
        <v>55</v>
      </c>
      <c r="B43" s="15">
        <f>5430.75</f>
        <v>5430.75</v>
      </c>
      <c r="C43" s="15">
        <f>991.25</f>
        <v>991.25</v>
      </c>
      <c r="D43" s="14"/>
      <c r="E43" s="14"/>
      <c r="F43" s="14"/>
      <c r="G43" s="15">
        <f t="shared" si="11"/>
        <v>6422</v>
      </c>
    </row>
    <row r="44">
      <c r="A44" s="13" t="s">
        <v>56</v>
      </c>
      <c r="B44" s="17">
        <f t="shared" ref="B44:F44" si="12">((B41)+(B42))+(B43)</f>
        <v>8430.75</v>
      </c>
      <c r="C44" s="17">
        <f t="shared" si="12"/>
        <v>991.25</v>
      </c>
      <c r="D44" s="17">
        <f t="shared" si="12"/>
        <v>0</v>
      </c>
      <c r="E44" s="17">
        <f t="shared" si="12"/>
        <v>0</v>
      </c>
      <c r="F44" s="17">
        <f t="shared" si="12"/>
        <v>0</v>
      </c>
      <c r="G44" s="17">
        <f t="shared" si="11"/>
        <v>9422</v>
      </c>
    </row>
    <row r="45">
      <c r="A45" s="13" t="s">
        <v>57</v>
      </c>
      <c r="B45" s="15">
        <f>165</f>
        <v>165</v>
      </c>
      <c r="C45" s="14"/>
      <c r="D45" s="14"/>
      <c r="E45" s="14"/>
      <c r="F45" s="14"/>
      <c r="G45" s="15">
        <f t="shared" si="11"/>
        <v>165</v>
      </c>
    </row>
    <row r="46">
      <c r="A46" s="13" t="s">
        <v>58</v>
      </c>
      <c r="B46" s="14"/>
      <c r="C46" s="14"/>
      <c r="D46" s="15">
        <f>0</f>
        <v>0</v>
      </c>
      <c r="E46" s="14"/>
      <c r="F46" s="14"/>
      <c r="G46" s="15">
        <f t="shared" si="11"/>
        <v>0</v>
      </c>
    </row>
    <row r="47">
      <c r="A47" s="13" t="s">
        <v>60</v>
      </c>
      <c r="B47" s="15">
        <f>127.99</f>
        <v>127.99</v>
      </c>
      <c r="C47" s="14"/>
      <c r="D47" s="14"/>
      <c r="E47" s="14"/>
      <c r="F47" s="14"/>
      <c r="G47" s="15">
        <f t="shared" si="11"/>
        <v>127.99</v>
      </c>
    </row>
    <row r="48">
      <c r="A48" s="13" t="s">
        <v>61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62</v>
      </c>
      <c r="B49" s="15">
        <f>1637.75</f>
        <v>1637.75</v>
      </c>
      <c r="C49" s="14"/>
      <c r="D49" s="14"/>
      <c r="E49" s="14"/>
      <c r="F49" s="14"/>
      <c r="G49" s="15">
        <f t="shared" si="11"/>
        <v>1637.75</v>
      </c>
    </row>
    <row r="50">
      <c r="A50" s="13" t="s">
        <v>63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65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66</v>
      </c>
      <c r="B52" s="15">
        <f>901.25</f>
        <v>901.25</v>
      </c>
      <c r="C52" s="15">
        <f>275</f>
        <v>275</v>
      </c>
      <c r="D52" s="14"/>
      <c r="E52" s="14"/>
      <c r="F52" s="14"/>
      <c r="G52" s="15">
        <f t="shared" si="11"/>
        <v>1176.25</v>
      </c>
    </row>
    <row r="53">
      <c r="A53" s="13" t="s">
        <v>67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68</v>
      </c>
      <c r="B54" s="15">
        <f>68</f>
        <v>68</v>
      </c>
      <c r="C54" s="15">
        <f>20</f>
        <v>20</v>
      </c>
      <c r="D54" s="14"/>
      <c r="E54" s="14"/>
      <c r="F54" s="14"/>
      <c r="G54" s="15">
        <f t="shared" si="11"/>
        <v>88</v>
      </c>
    </row>
    <row r="55">
      <c r="A55" s="13" t="s">
        <v>69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70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71</v>
      </c>
      <c r="B57" s="15">
        <f>803.92</f>
        <v>803.92</v>
      </c>
      <c r="C57" s="14"/>
      <c r="D57" s="14"/>
      <c r="E57" s="14"/>
      <c r="F57" s="14"/>
      <c r="G57" s="15">
        <f t="shared" si="11"/>
        <v>803.92</v>
      </c>
    </row>
    <row r="58">
      <c r="A58" s="13" t="s">
        <v>72</v>
      </c>
      <c r="B58" s="17">
        <f t="shared" ref="B58:F58" si="13">((B55)+(B56))+(B57)</f>
        <v>1484.67</v>
      </c>
      <c r="C58" s="17">
        <f t="shared" si="13"/>
        <v>0</v>
      </c>
      <c r="D58" s="17">
        <f t="shared" si="13"/>
        <v>0</v>
      </c>
      <c r="E58" s="17">
        <f t="shared" si="13"/>
        <v>0</v>
      </c>
      <c r="F58" s="17">
        <f t="shared" si="13"/>
        <v>0</v>
      </c>
      <c r="G58" s="17">
        <f t="shared" si="11"/>
        <v>1484.67</v>
      </c>
    </row>
    <row r="59">
      <c r="A59" s="13" t="s">
        <v>73</v>
      </c>
      <c r="B59" s="15">
        <f>340</f>
        <v>340</v>
      </c>
      <c r="C59" s="14"/>
      <c r="D59" s="14"/>
      <c r="E59" s="14"/>
      <c r="F59" s="14"/>
      <c r="G59" s="15">
        <f t="shared" si="11"/>
        <v>340</v>
      </c>
    </row>
    <row r="60">
      <c r="A60" s="13" t="s">
        <v>74</v>
      </c>
      <c r="B60" s="17">
        <f t="shared" ref="B60:F60" si="14">(((((((((((((B40)+(B44))+(B45))+(B46))+(B47))+(B48))+(B49))+(B50))+(B51))+(B52))+(B53))+(B54))+(B58))+(B59)</f>
        <v>18381.84</v>
      </c>
      <c r="C60" s="17">
        <f t="shared" si="14"/>
        <v>1286.25</v>
      </c>
      <c r="D60" s="17">
        <f t="shared" si="14"/>
        <v>0</v>
      </c>
      <c r="E60" s="17">
        <f t="shared" si="14"/>
        <v>0</v>
      </c>
      <c r="F60" s="17">
        <f t="shared" si="14"/>
        <v>0</v>
      </c>
      <c r="G60" s="17">
        <f t="shared" si="11"/>
        <v>19668.09</v>
      </c>
    </row>
    <row r="61">
      <c r="A61" s="13" t="s">
        <v>75</v>
      </c>
      <c r="B61" s="15">
        <f>188.73</f>
        <v>188.73</v>
      </c>
      <c r="C61" s="14"/>
      <c r="D61" s="14"/>
      <c r="E61" s="14"/>
      <c r="F61" s="14"/>
      <c r="G61" s="15">
        <f t="shared" si="11"/>
        <v>188.73</v>
      </c>
    </row>
    <row r="62">
      <c r="A62" s="13" t="s">
        <v>76</v>
      </c>
      <c r="B62" s="14"/>
      <c r="C62" s="14"/>
      <c r="D62" s="14"/>
      <c r="E62" s="14"/>
      <c r="F62" s="14"/>
      <c r="G62" s="15">
        <f t="shared" si="11"/>
        <v>0</v>
      </c>
    </row>
    <row r="63">
      <c r="A63" s="13" t="s">
        <v>77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78</v>
      </c>
      <c r="B64" s="14"/>
      <c r="C64" s="14"/>
      <c r="D64" s="14"/>
      <c r="E64" s="14"/>
      <c r="F64" s="14"/>
      <c r="G64" s="15">
        <f t="shared" si="11"/>
        <v>0</v>
      </c>
    </row>
    <row r="65">
      <c r="A65" s="13" t="s">
        <v>84</v>
      </c>
      <c r="B65" s="14"/>
      <c r="C65" s="14"/>
      <c r="D65" s="15">
        <f>2555.07</f>
        <v>2555.07</v>
      </c>
      <c r="E65" s="14"/>
      <c r="F65" s="14"/>
      <c r="G65" s="15">
        <f t="shared" si="11"/>
        <v>2555.07</v>
      </c>
    </row>
    <row r="66">
      <c r="A66" s="13" t="s">
        <v>89</v>
      </c>
      <c r="B66" s="14"/>
      <c r="C66" s="14"/>
      <c r="D66" s="15">
        <f>164.06</f>
        <v>164.06</v>
      </c>
      <c r="E66" s="14"/>
      <c r="F66" s="14"/>
      <c r="G66" s="15">
        <f t="shared" si="11"/>
        <v>164.06</v>
      </c>
    </row>
    <row r="67">
      <c r="A67" s="13" t="s">
        <v>90</v>
      </c>
      <c r="B67" s="14"/>
      <c r="C67" s="14"/>
      <c r="D67" s="15">
        <f>328.12</f>
        <v>328.12</v>
      </c>
      <c r="E67" s="14"/>
      <c r="F67" s="14"/>
      <c r="G67" s="15">
        <f t="shared" si="11"/>
        <v>328.12</v>
      </c>
    </row>
    <row r="68">
      <c r="A68" s="13" t="s">
        <v>94</v>
      </c>
      <c r="B68" s="17">
        <f t="shared" ref="B68:F68" si="15">(((B64)+(B65))+(B66))+(B67)</f>
        <v>0</v>
      </c>
      <c r="C68" s="17">
        <f t="shared" si="15"/>
        <v>0</v>
      </c>
      <c r="D68" s="17">
        <f t="shared" si="15"/>
        <v>3047.25</v>
      </c>
      <c r="E68" s="17">
        <f t="shared" si="15"/>
        <v>0</v>
      </c>
      <c r="F68" s="17">
        <f t="shared" si="15"/>
        <v>0</v>
      </c>
      <c r="G68" s="17">
        <f t="shared" si="11"/>
        <v>3047.25</v>
      </c>
    </row>
    <row r="69">
      <c r="A69" s="13" t="s">
        <v>95</v>
      </c>
      <c r="B69" s="17">
        <f t="shared" ref="B69:F69" si="16">(B63)+(B68)</f>
        <v>0</v>
      </c>
      <c r="C69" s="17">
        <f t="shared" si="16"/>
        <v>0</v>
      </c>
      <c r="D69" s="17">
        <f t="shared" si="16"/>
        <v>3047.25</v>
      </c>
      <c r="E69" s="17">
        <f t="shared" si="16"/>
        <v>0</v>
      </c>
      <c r="F69" s="17">
        <f t="shared" si="16"/>
        <v>0</v>
      </c>
      <c r="G69" s="17">
        <f t="shared" si="11"/>
        <v>3047.25</v>
      </c>
    </row>
    <row r="70">
      <c r="A70" s="13" t="s">
        <v>97</v>
      </c>
      <c r="B70" s="14"/>
      <c r="C70" s="14"/>
      <c r="D70" s="14"/>
      <c r="E70" s="15">
        <f>18909.88</f>
        <v>18909.88</v>
      </c>
      <c r="F70" s="14"/>
      <c r="G70" s="15">
        <f t="shared" si="11"/>
        <v>18909.88</v>
      </c>
    </row>
    <row r="71">
      <c r="A71" s="13" t="s">
        <v>98</v>
      </c>
      <c r="B71" s="14"/>
      <c r="C71" s="14"/>
      <c r="D71" s="14"/>
      <c r="E71" s="14"/>
      <c r="F71" s="14"/>
      <c r="G71" s="15">
        <f t="shared" si="11"/>
        <v>0</v>
      </c>
    </row>
    <row r="72">
      <c r="A72" s="13" t="s">
        <v>99</v>
      </c>
      <c r="B72" s="15">
        <f>2359.43</f>
        <v>2359.43</v>
      </c>
      <c r="C72" s="15">
        <f>27937.61</f>
        <v>27937.61</v>
      </c>
      <c r="D72" s="14"/>
      <c r="E72" s="15">
        <f>6321.03</f>
        <v>6321.03</v>
      </c>
      <c r="F72" s="14"/>
      <c r="G72" s="15">
        <f t="shared" si="11"/>
        <v>36618.07</v>
      </c>
    </row>
    <row r="73">
      <c r="A73" s="13" t="s">
        <v>101</v>
      </c>
      <c r="B73" s="14"/>
      <c r="C73" s="14"/>
      <c r="D73" s="14"/>
      <c r="E73" s="14"/>
      <c r="F73" s="14"/>
      <c r="G73" s="15">
        <f t="shared" si="11"/>
        <v>0</v>
      </c>
    </row>
    <row r="74">
      <c r="A74" s="13" t="s">
        <v>241</v>
      </c>
      <c r="B74" s="14"/>
      <c r="C74" s="14"/>
      <c r="D74" s="14"/>
      <c r="E74" s="15">
        <f>497.45</f>
        <v>497.45</v>
      </c>
      <c r="F74" s="14"/>
      <c r="G74" s="15">
        <f t="shared" si="11"/>
        <v>497.45</v>
      </c>
    </row>
    <row r="75">
      <c r="A75" s="13" t="s">
        <v>104</v>
      </c>
      <c r="B75" s="14"/>
      <c r="C75" s="14"/>
      <c r="D75" s="14"/>
      <c r="E75" s="15">
        <f>74.52</f>
        <v>74.52</v>
      </c>
      <c r="F75" s="14"/>
      <c r="G75" s="15">
        <f t="shared" si="11"/>
        <v>74.52</v>
      </c>
    </row>
    <row r="76">
      <c r="A76" s="13" t="s">
        <v>105</v>
      </c>
      <c r="B76" s="17">
        <f t="shared" ref="B76:F76" si="17">((B73)+(B74))+(B75)</f>
        <v>0</v>
      </c>
      <c r="C76" s="17">
        <f t="shared" si="17"/>
        <v>0</v>
      </c>
      <c r="D76" s="17">
        <f t="shared" si="17"/>
        <v>0</v>
      </c>
      <c r="E76" s="17">
        <f t="shared" si="17"/>
        <v>571.97</v>
      </c>
      <c r="F76" s="17">
        <f t="shared" si="17"/>
        <v>0</v>
      </c>
      <c r="G76" s="17">
        <f t="shared" si="11"/>
        <v>571.97</v>
      </c>
    </row>
    <row r="77">
      <c r="A77" s="13" t="s">
        <v>106</v>
      </c>
      <c r="B77" s="14"/>
      <c r="C77" s="14"/>
      <c r="D77" s="14"/>
      <c r="E77" s="15">
        <f>55</f>
        <v>55</v>
      </c>
      <c r="F77" s="14"/>
      <c r="G77" s="15">
        <f t="shared" si="11"/>
        <v>55</v>
      </c>
    </row>
    <row r="78">
      <c r="A78" s="13" t="s">
        <v>107</v>
      </c>
      <c r="B78" s="14"/>
      <c r="C78" s="14"/>
      <c r="D78" s="14"/>
      <c r="E78" s="15">
        <f>4378.09</f>
        <v>4378.09</v>
      </c>
      <c r="F78" s="14"/>
      <c r="G78" s="15">
        <f t="shared" si="11"/>
        <v>4378.09</v>
      </c>
    </row>
    <row r="79">
      <c r="A79" s="13" t="s">
        <v>108</v>
      </c>
      <c r="B79" s="14"/>
      <c r="C79" s="14"/>
      <c r="D79" s="14"/>
      <c r="E79" s="15">
        <f>506.25</f>
        <v>506.25</v>
      </c>
      <c r="F79" s="14"/>
      <c r="G79" s="15">
        <f t="shared" si="11"/>
        <v>506.25</v>
      </c>
    </row>
    <row r="80">
      <c r="A80" s="13" t="s">
        <v>109</v>
      </c>
      <c r="B80" s="14"/>
      <c r="C80" s="15">
        <f>519.4</f>
        <v>519.4</v>
      </c>
      <c r="D80" s="14"/>
      <c r="E80" s="15">
        <f>321.3</f>
        <v>321.3</v>
      </c>
      <c r="F80" s="14"/>
      <c r="G80" s="15">
        <f t="shared" si="11"/>
        <v>840.7</v>
      </c>
    </row>
    <row r="81">
      <c r="A81" s="13" t="s">
        <v>110</v>
      </c>
      <c r="B81" s="17">
        <f t="shared" ref="B81:F81" si="18">((((((B71)+(B72))+(B76))+(B77))+(B78))+(B79))+(B80)</f>
        <v>2359.43</v>
      </c>
      <c r="C81" s="17">
        <f t="shared" si="18"/>
        <v>28457.01</v>
      </c>
      <c r="D81" s="17">
        <f t="shared" si="18"/>
        <v>0</v>
      </c>
      <c r="E81" s="17">
        <f t="shared" si="18"/>
        <v>12153.64</v>
      </c>
      <c r="F81" s="17">
        <f t="shared" si="18"/>
        <v>0</v>
      </c>
      <c r="G81" s="17">
        <f t="shared" si="11"/>
        <v>42970.08</v>
      </c>
    </row>
    <row r="82">
      <c r="A82" s="13" t="s">
        <v>111</v>
      </c>
      <c r="B82" s="14"/>
      <c r="C82" s="14"/>
      <c r="D82" s="14"/>
      <c r="E82" s="15">
        <f>27.93</f>
        <v>27.93</v>
      </c>
      <c r="F82" s="14"/>
      <c r="G82" s="15">
        <f t="shared" si="11"/>
        <v>27.93</v>
      </c>
    </row>
    <row r="83">
      <c r="A83" s="13" t="s">
        <v>112</v>
      </c>
      <c r="B83" s="17">
        <f t="shared" ref="B83:F83" si="19">((B70)+(B81))+(B82)</f>
        <v>2359.43</v>
      </c>
      <c r="C83" s="17">
        <f t="shared" si="19"/>
        <v>28457.01</v>
      </c>
      <c r="D83" s="17">
        <f t="shared" si="19"/>
        <v>0</v>
      </c>
      <c r="E83" s="17">
        <f t="shared" si="19"/>
        <v>31091.45</v>
      </c>
      <c r="F83" s="17">
        <f t="shared" si="19"/>
        <v>0</v>
      </c>
      <c r="G83" s="17">
        <f t="shared" si="11"/>
        <v>61907.89</v>
      </c>
    </row>
    <row r="84">
      <c r="A84" s="13" t="s">
        <v>113</v>
      </c>
      <c r="B84" s="17">
        <f t="shared" ref="B84:F84" si="20">((B62)+(B69))+(B83)</f>
        <v>2359.43</v>
      </c>
      <c r="C84" s="17">
        <f t="shared" si="20"/>
        <v>28457.01</v>
      </c>
      <c r="D84" s="17">
        <f t="shared" si="20"/>
        <v>3047.25</v>
      </c>
      <c r="E84" s="17">
        <f t="shared" si="20"/>
        <v>31091.45</v>
      </c>
      <c r="F84" s="17">
        <f t="shared" si="20"/>
        <v>0</v>
      </c>
      <c r="G84" s="17">
        <f t="shared" si="11"/>
        <v>64955.14</v>
      </c>
    </row>
    <row r="85">
      <c r="A85" s="36" t="s">
        <v>114</v>
      </c>
      <c r="B85" s="37">
        <f t="shared" ref="B85:F85" si="21">((B60)+(B61))+(B84)</f>
        <v>20930</v>
      </c>
      <c r="C85" s="37">
        <f t="shared" si="21"/>
        <v>29743.26</v>
      </c>
      <c r="D85" s="37">
        <f t="shared" si="21"/>
        <v>3047.25</v>
      </c>
      <c r="E85" s="37">
        <f t="shared" si="21"/>
        <v>31091.45</v>
      </c>
      <c r="F85" s="37">
        <f t="shared" si="21"/>
        <v>0</v>
      </c>
      <c r="G85" s="37">
        <f t="shared" si="11"/>
        <v>84811.96</v>
      </c>
    </row>
    <row r="86">
      <c r="A86" s="13" t="s">
        <v>115</v>
      </c>
      <c r="B86" s="20">
        <f t="shared" ref="B86:F86" si="22">(B38)-(B85)</f>
        <v>-21826.54</v>
      </c>
      <c r="C86" s="17">
        <f t="shared" si="22"/>
        <v>-12177.95</v>
      </c>
      <c r="D86" s="17">
        <f t="shared" si="22"/>
        <v>116911.23</v>
      </c>
      <c r="E86" s="20">
        <f t="shared" si="22"/>
        <v>-5193.09</v>
      </c>
      <c r="F86" s="17">
        <f t="shared" si="22"/>
        <v>0</v>
      </c>
      <c r="G86" s="17">
        <f t="shared" si="11"/>
        <v>77713.65</v>
      </c>
    </row>
    <row r="87">
      <c r="A87" s="36" t="s">
        <v>4</v>
      </c>
      <c r="B87" s="38">
        <f t="shared" ref="B87:F87" si="23">(B86)+(0)</f>
        <v>-21826.54</v>
      </c>
      <c r="C87" s="37">
        <f t="shared" si="23"/>
        <v>-12177.95</v>
      </c>
      <c r="D87" s="37">
        <f t="shared" si="23"/>
        <v>116911.23</v>
      </c>
      <c r="E87" s="38">
        <f t="shared" si="23"/>
        <v>-5193.09</v>
      </c>
      <c r="F87" s="37">
        <f t="shared" si="23"/>
        <v>0</v>
      </c>
      <c r="G87" s="37">
        <f t="shared" si="11"/>
        <v>77713.65</v>
      </c>
    </row>
    <row r="88">
      <c r="A88" s="13"/>
      <c r="B88" s="14"/>
      <c r="C88" s="14"/>
      <c r="D88" s="14"/>
      <c r="E88" s="14"/>
      <c r="F88" s="14"/>
      <c r="G88" s="14"/>
    </row>
    <row r="89"/>
    <row r="90"/>
    <row r="91">
      <c r="A91" s="19" t="s">
        <v>243</v>
      </c>
    </row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91:G9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8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15</v>
      </c>
      <c r="B8" s="15">
        <f>49990</f>
        <v>49990</v>
      </c>
      <c r="C8" s="14"/>
      <c r="D8" s="15">
        <f t="shared" ref="D8:D44" si="1">(B8)-(C8)</f>
        <v>49990</v>
      </c>
      <c r="E8" s="16" t="str">
        <f t="shared" ref="E8:E44" si="2">IF(C8=0,"",(B8)/(C8))</f>
        <v/>
      </c>
    </row>
    <row r="9">
      <c r="A9" s="13" t="s">
        <v>16</v>
      </c>
      <c r="B9" s="14"/>
      <c r="C9" s="14"/>
      <c r="D9" s="15">
        <f t="shared" si="1"/>
        <v>0</v>
      </c>
      <c r="E9" s="16" t="str">
        <f t="shared" si="2"/>
        <v/>
      </c>
    </row>
    <row r="10">
      <c r="A10" s="13" t="s">
        <v>17</v>
      </c>
      <c r="B10" s="15">
        <f>-896.54</f>
        <v>-896.54</v>
      </c>
      <c r="C10" s="15">
        <f>13600</f>
        <v>13600</v>
      </c>
      <c r="D10" s="15">
        <f t="shared" si="1"/>
        <v>-14496.54</v>
      </c>
      <c r="E10" s="16">
        <f t="shared" si="2"/>
        <v>-0.06592205882</v>
      </c>
    </row>
    <row r="11">
      <c r="A11" s="13" t="s">
        <v>18</v>
      </c>
      <c r="B11" s="17">
        <f t="shared" ref="B11:C11" si="3">(B9)+(B10)</f>
        <v>-896.54</v>
      </c>
      <c r="C11" s="17">
        <f t="shared" si="3"/>
        <v>13600</v>
      </c>
      <c r="D11" s="17">
        <f t="shared" si="1"/>
        <v>-14496.54</v>
      </c>
      <c r="E11" s="18">
        <f t="shared" si="2"/>
        <v>-0.06592205882</v>
      </c>
    </row>
    <row r="12">
      <c r="A12" s="13" t="s">
        <v>19</v>
      </c>
      <c r="B12" s="14"/>
      <c r="C12" s="14"/>
      <c r="D12" s="15">
        <f t="shared" si="1"/>
        <v>0</v>
      </c>
      <c r="E12" s="16" t="str">
        <f t="shared" si="2"/>
        <v/>
      </c>
    </row>
    <row r="13">
      <c r="A13" s="13" t="s">
        <v>20</v>
      </c>
      <c r="B13" s="15">
        <f>0</f>
        <v>0</v>
      </c>
      <c r="C13" s="14"/>
      <c r="D13" s="15">
        <f t="shared" si="1"/>
        <v>0</v>
      </c>
      <c r="E13" s="16" t="str">
        <f t="shared" si="2"/>
        <v/>
      </c>
    </row>
    <row r="14">
      <c r="A14" s="13" t="s">
        <v>21</v>
      </c>
      <c r="B14" s="17">
        <f t="shared" ref="B14:C14" si="4">(B12)+(B13)</f>
        <v>0</v>
      </c>
      <c r="C14" s="17">
        <f t="shared" si="4"/>
        <v>0</v>
      </c>
      <c r="D14" s="17">
        <f t="shared" si="1"/>
        <v>0</v>
      </c>
      <c r="E14" s="18" t="str">
        <f t="shared" si="2"/>
        <v/>
      </c>
    </row>
    <row r="15">
      <c r="A15" s="13" t="s">
        <v>22</v>
      </c>
      <c r="B15" s="14"/>
      <c r="C15" s="14"/>
      <c r="D15" s="15">
        <f t="shared" si="1"/>
        <v>0</v>
      </c>
      <c r="E15" s="16" t="str">
        <f t="shared" si="2"/>
        <v/>
      </c>
    </row>
    <row r="16">
      <c r="A16" s="13" t="s">
        <v>23</v>
      </c>
      <c r="B16" s="14"/>
      <c r="C16" s="15">
        <f>30000</f>
        <v>30000</v>
      </c>
      <c r="D16" s="15">
        <f t="shared" si="1"/>
        <v>-30000</v>
      </c>
      <c r="E16" s="16">
        <f t="shared" si="2"/>
        <v>0</v>
      </c>
    </row>
    <row r="17">
      <c r="A17" s="13" t="s">
        <v>24</v>
      </c>
      <c r="B17" s="14"/>
      <c r="C17" s="15">
        <f>15000</f>
        <v>15000</v>
      </c>
      <c r="D17" s="15">
        <f t="shared" si="1"/>
        <v>-15000</v>
      </c>
      <c r="E17" s="16">
        <f t="shared" si="2"/>
        <v>0</v>
      </c>
    </row>
    <row r="18">
      <c r="A18" s="13" t="s">
        <v>25</v>
      </c>
      <c r="B18" s="15">
        <f t="shared" ref="B18:B19" si="5">2577.08</f>
        <v>2577.08</v>
      </c>
      <c r="C18" s="15">
        <f>5155</f>
        <v>5155</v>
      </c>
      <c r="D18" s="15">
        <f t="shared" si="1"/>
        <v>-2577.92</v>
      </c>
      <c r="E18" s="16">
        <f t="shared" si="2"/>
        <v>0.4999185257</v>
      </c>
    </row>
    <row r="19">
      <c r="A19" s="13" t="s">
        <v>26</v>
      </c>
      <c r="B19" s="15">
        <f t="shared" si="5"/>
        <v>2577.08</v>
      </c>
      <c r="C19" s="15">
        <f>5154</f>
        <v>5154</v>
      </c>
      <c r="D19" s="15">
        <f t="shared" si="1"/>
        <v>-2576.92</v>
      </c>
      <c r="E19" s="16">
        <f t="shared" si="2"/>
        <v>0.5000155219</v>
      </c>
    </row>
    <row r="20">
      <c r="A20" s="13" t="s">
        <v>27</v>
      </c>
      <c r="B20" s="15">
        <f>33266.72</f>
        <v>33266.72</v>
      </c>
      <c r="C20" s="15">
        <f>66534</f>
        <v>66534</v>
      </c>
      <c r="D20" s="15">
        <f t="shared" si="1"/>
        <v>-33267.28</v>
      </c>
      <c r="E20" s="16">
        <f t="shared" si="2"/>
        <v>0.4999957916</v>
      </c>
    </row>
    <row r="21">
      <c r="A21" s="13" t="s">
        <v>28</v>
      </c>
      <c r="B21" s="15">
        <f>2586.08</f>
        <v>2586.08</v>
      </c>
      <c r="C21" s="15">
        <f>5172</f>
        <v>5172</v>
      </c>
      <c r="D21" s="15">
        <f t="shared" si="1"/>
        <v>-2585.92</v>
      </c>
      <c r="E21" s="16">
        <f t="shared" si="2"/>
        <v>0.5000154679</v>
      </c>
    </row>
    <row r="22">
      <c r="A22" s="13" t="s">
        <v>29</v>
      </c>
      <c r="B22" s="15">
        <f>2573.85</f>
        <v>2573.85</v>
      </c>
      <c r="C22" s="14"/>
      <c r="D22" s="15">
        <f t="shared" si="1"/>
        <v>2573.85</v>
      </c>
      <c r="E22" s="16" t="str">
        <f t="shared" si="2"/>
        <v/>
      </c>
    </row>
    <row r="23">
      <c r="A23" s="13" t="s">
        <v>30</v>
      </c>
      <c r="B23" s="14"/>
      <c r="C23" s="15">
        <f>5148</f>
        <v>5148</v>
      </c>
      <c r="D23" s="15">
        <f t="shared" si="1"/>
        <v>-5148</v>
      </c>
      <c r="E23" s="16">
        <f t="shared" si="2"/>
        <v>0</v>
      </c>
    </row>
    <row r="24">
      <c r="A24" s="13" t="s">
        <v>31</v>
      </c>
      <c r="B24" s="15">
        <f>2576.08</f>
        <v>2576.08</v>
      </c>
      <c r="C24" s="15">
        <f>5152</f>
        <v>5152</v>
      </c>
      <c r="D24" s="15">
        <f t="shared" si="1"/>
        <v>-2575.92</v>
      </c>
      <c r="E24" s="16">
        <f t="shared" si="2"/>
        <v>0.500015528</v>
      </c>
    </row>
    <row r="25">
      <c r="A25" s="13" t="s">
        <v>32</v>
      </c>
      <c r="B25" s="15">
        <f>15000</f>
        <v>15000</v>
      </c>
      <c r="C25" s="14"/>
      <c r="D25" s="15">
        <f t="shared" si="1"/>
        <v>15000</v>
      </c>
      <c r="E25" s="16" t="str">
        <f t="shared" si="2"/>
        <v/>
      </c>
    </row>
    <row r="26">
      <c r="A26" s="13" t="s">
        <v>33</v>
      </c>
      <c r="B26" s="15">
        <f>7224.94</f>
        <v>7224.94</v>
      </c>
      <c r="C26" s="14"/>
      <c r="D26" s="15">
        <f t="shared" si="1"/>
        <v>7224.94</v>
      </c>
      <c r="E26" s="16" t="str">
        <f t="shared" si="2"/>
        <v/>
      </c>
    </row>
    <row r="27">
      <c r="A27" s="13" t="s">
        <v>34</v>
      </c>
      <c r="B27" s="15">
        <f t="shared" ref="B27:B28" si="6">9738.23</f>
        <v>9738.23</v>
      </c>
      <c r="C27" s="15">
        <f t="shared" ref="C27:C28" si="7">19476</f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35</v>
      </c>
      <c r="B28" s="15">
        <f t="shared" si="6"/>
        <v>9738.23</v>
      </c>
      <c r="C28" s="15">
        <f t="shared" si="7"/>
        <v>19476</v>
      </c>
      <c r="D28" s="15">
        <f t="shared" si="1"/>
        <v>-9737.77</v>
      </c>
      <c r="E28" s="16">
        <f t="shared" si="2"/>
        <v>0.5000118094</v>
      </c>
    </row>
    <row r="29">
      <c r="A29" s="13" t="s">
        <v>36</v>
      </c>
      <c r="B29" s="15">
        <f>18839.93</f>
        <v>18839.93</v>
      </c>
      <c r="C29" s="15">
        <f>37680</f>
        <v>37680</v>
      </c>
      <c r="D29" s="15">
        <f t="shared" si="1"/>
        <v>-18840.07</v>
      </c>
      <c r="E29" s="16">
        <f t="shared" si="2"/>
        <v>0.4999981423</v>
      </c>
    </row>
    <row r="30">
      <c r="A30" s="13" t="s">
        <v>37</v>
      </c>
      <c r="B30" s="15">
        <f>4876.41</f>
        <v>4876.41</v>
      </c>
      <c r="C30" s="15">
        <f>9753</f>
        <v>9753</v>
      </c>
      <c r="D30" s="15">
        <f t="shared" si="1"/>
        <v>-4876.59</v>
      </c>
      <c r="E30" s="16">
        <f t="shared" si="2"/>
        <v>0.4999907721</v>
      </c>
    </row>
    <row r="31">
      <c r="A31" s="13" t="s">
        <v>38</v>
      </c>
      <c r="B31" s="15">
        <f>4874.4</f>
        <v>4874.4</v>
      </c>
      <c r="C31" s="15">
        <f>9749</f>
        <v>9749</v>
      </c>
      <c r="D31" s="15">
        <f t="shared" si="1"/>
        <v>-4874.6</v>
      </c>
      <c r="E31" s="16">
        <f t="shared" si="2"/>
        <v>0.4999897425</v>
      </c>
    </row>
    <row r="32">
      <c r="A32" s="13" t="s">
        <v>39</v>
      </c>
      <c r="B32" s="15">
        <f>2577.08</f>
        <v>2577.08</v>
      </c>
      <c r="C32" s="15">
        <f>5154</f>
        <v>5154</v>
      </c>
      <c r="D32" s="15">
        <f t="shared" si="1"/>
        <v>-2576.92</v>
      </c>
      <c r="E32" s="16">
        <f t="shared" si="2"/>
        <v>0.5000155219</v>
      </c>
    </row>
    <row r="33">
      <c r="A33" s="13" t="s">
        <v>40</v>
      </c>
      <c r="B33" s="17">
        <f t="shared" ref="B33:C33" si="8">(((((((((((((((((B15)+(B16))+(B17))+(B18))+(B19))+(B20))+(B21))+(B22))+(B23))+(B24))+(B25))+(B26))+(B27))+(B28))+(B29))+(B30))+(B31))+(B32)</f>
        <v>119026.11</v>
      </c>
      <c r="C33" s="17">
        <f t="shared" si="8"/>
        <v>238603</v>
      </c>
      <c r="D33" s="17">
        <f t="shared" si="1"/>
        <v>-119576.89</v>
      </c>
      <c r="E33" s="18">
        <f t="shared" si="2"/>
        <v>0.4988458234</v>
      </c>
    </row>
    <row r="34">
      <c r="A34" s="13" t="s">
        <v>41</v>
      </c>
      <c r="B34" s="14"/>
      <c r="C34" s="14"/>
      <c r="D34" s="15">
        <f t="shared" si="1"/>
        <v>0</v>
      </c>
      <c r="E34" s="16" t="str">
        <f t="shared" si="2"/>
        <v/>
      </c>
    </row>
    <row r="35">
      <c r="A35" s="13" t="s">
        <v>42</v>
      </c>
      <c r="B35" s="15">
        <f>5441.28</f>
        <v>5441.28</v>
      </c>
      <c r="C35" s="14"/>
      <c r="D35" s="15">
        <f t="shared" si="1"/>
        <v>5441.28</v>
      </c>
      <c r="E35" s="16" t="str">
        <f t="shared" si="2"/>
        <v/>
      </c>
    </row>
    <row r="36">
      <c r="A36" s="13" t="s">
        <v>43</v>
      </c>
      <c r="B36" s="15">
        <f>27155.12</f>
        <v>27155.12</v>
      </c>
      <c r="C36" s="14"/>
      <c r="D36" s="15">
        <f t="shared" si="1"/>
        <v>27155.12</v>
      </c>
      <c r="E36" s="16" t="str">
        <f t="shared" si="2"/>
        <v/>
      </c>
    </row>
    <row r="37">
      <c r="A37" s="13" t="s">
        <v>44</v>
      </c>
      <c r="B37" s="15">
        <f>25898.36</f>
        <v>25898.36</v>
      </c>
      <c r="C37" s="15">
        <f>110000</f>
        <v>110000</v>
      </c>
      <c r="D37" s="15">
        <f t="shared" si="1"/>
        <v>-84101.64</v>
      </c>
      <c r="E37" s="16">
        <f t="shared" si="2"/>
        <v>0.2354396364</v>
      </c>
    </row>
    <row r="38">
      <c r="A38" s="13" t="s">
        <v>45</v>
      </c>
      <c r="B38" s="14"/>
      <c r="C38" s="15">
        <f>53573</f>
        <v>53573</v>
      </c>
      <c r="D38" s="15">
        <f t="shared" si="1"/>
        <v>-53573</v>
      </c>
      <c r="E38" s="16">
        <f t="shared" si="2"/>
        <v>0</v>
      </c>
    </row>
    <row r="39">
      <c r="A39" s="13" t="s">
        <v>46</v>
      </c>
      <c r="B39" s="15">
        <f>3160.98</f>
        <v>3160.98</v>
      </c>
      <c r="C39" s="14"/>
      <c r="D39" s="15">
        <f t="shared" si="1"/>
        <v>3160.98</v>
      </c>
      <c r="E39" s="16" t="str">
        <f t="shared" si="2"/>
        <v/>
      </c>
    </row>
    <row r="40">
      <c r="A40" s="13" t="s">
        <v>47</v>
      </c>
      <c r="B40" s="15">
        <f>898.71</f>
        <v>898.71</v>
      </c>
      <c r="C40" s="14"/>
      <c r="D40" s="15">
        <f t="shared" si="1"/>
        <v>898.71</v>
      </c>
      <c r="E40" s="16" t="str">
        <f t="shared" si="2"/>
        <v/>
      </c>
    </row>
    <row r="41">
      <c r="A41" s="13" t="s">
        <v>48</v>
      </c>
      <c r="B41" s="17">
        <f t="shared" ref="B41:C41" si="9">((((B36)+(B37))+(B38))+(B39))+(B40)</f>
        <v>57113.17</v>
      </c>
      <c r="C41" s="17">
        <f t="shared" si="9"/>
        <v>163573</v>
      </c>
      <c r="D41" s="17">
        <f t="shared" si="1"/>
        <v>-106459.83</v>
      </c>
      <c r="E41" s="18">
        <f t="shared" si="2"/>
        <v>0.3491601303</v>
      </c>
    </row>
    <row r="42">
      <c r="A42" s="13" t="s">
        <v>49</v>
      </c>
      <c r="B42" s="17">
        <f t="shared" ref="B42:C42" si="10">((B34)+(B35))+(B41)</f>
        <v>62554.45</v>
      </c>
      <c r="C42" s="17">
        <f t="shared" si="10"/>
        <v>163573</v>
      </c>
      <c r="D42" s="17">
        <f t="shared" si="1"/>
        <v>-101018.55</v>
      </c>
      <c r="E42" s="18">
        <f t="shared" si="2"/>
        <v>0.382425278</v>
      </c>
    </row>
    <row r="43">
      <c r="A43" s="13" t="s">
        <v>2</v>
      </c>
      <c r="B43" s="17">
        <f t="shared" ref="B43:C43" si="11">((((B8)+(B11))+(B14))+(B33))+(B42)</f>
        <v>230674.02</v>
      </c>
      <c r="C43" s="17">
        <f t="shared" si="11"/>
        <v>415776</v>
      </c>
      <c r="D43" s="17">
        <f t="shared" si="1"/>
        <v>-185101.98</v>
      </c>
      <c r="E43" s="18">
        <f t="shared" si="2"/>
        <v>0.5548035962</v>
      </c>
    </row>
    <row r="44">
      <c r="A44" s="13" t="s">
        <v>50</v>
      </c>
      <c r="B44" s="17">
        <f t="shared" ref="B44:C44" si="12">(B43)-(0)</f>
        <v>230674.02</v>
      </c>
      <c r="C44" s="17">
        <f t="shared" si="12"/>
        <v>415776</v>
      </c>
      <c r="D44" s="17">
        <f t="shared" si="1"/>
        <v>-185101.98</v>
      </c>
      <c r="E44" s="18">
        <f t="shared" si="2"/>
        <v>0.5548035962</v>
      </c>
    </row>
    <row r="45">
      <c r="A45" s="13" t="s">
        <v>51</v>
      </c>
      <c r="B45" s="14"/>
      <c r="C45" s="14"/>
      <c r="D45" s="14"/>
      <c r="E45" s="14"/>
    </row>
    <row r="46">
      <c r="A46" s="13" t="s">
        <v>52</v>
      </c>
      <c r="B46" s="14"/>
      <c r="C46" s="14"/>
      <c r="D46" s="15">
        <f t="shared" ref="D46:D110" si="13">(B46)-(C46)</f>
        <v>0</v>
      </c>
      <c r="E46" s="16" t="str">
        <f t="shared" ref="E46:E110" si="14">IF(C46=0,"",(B46)/(C46))</f>
        <v/>
      </c>
    </row>
    <row r="47">
      <c r="A47" s="13" t="s">
        <v>53</v>
      </c>
      <c r="B47" s="14"/>
      <c r="C47" s="14"/>
      <c r="D47" s="15">
        <f t="shared" si="13"/>
        <v>0</v>
      </c>
      <c r="E47" s="16" t="str">
        <f t="shared" si="14"/>
        <v/>
      </c>
    </row>
    <row r="48">
      <c r="A48" s="13" t="s">
        <v>54</v>
      </c>
      <c r="B48" s="15">
        <f t="shared" ref="B48:C48" si="15">3000</f>
        <v>3000</v>
      </c>
      <c r="C48" s="15">
        <f t="shared" si="15"/>
        <v>3000</v>
      </c>
      <c r="D48" s="15">
        <f t="shared" si="13"/>
        <v>0</v>
      </c>
      <c r="E48" s="16">
        <f t="shared" si="14"/>
        <v>1</v>
      </c>
    </row>
    <row r="49">
      <c r="A49" s="13" t="s">
        <v>55</v>
      </c>
      <c r="B49" s="15">
        <f>7884.5</f>
        <v>7884.5</v>
      </c>
      <c r="C49" s="15">
        <f>18000</f>
        <v>18000</v>
      </c>
      <c r="D49" s="15">
        <f t="shared" si="13"/>
        <v>-10115.5</v>
      </c>
      <c r="E49" s="16">
        <f t="shared" si="14"/>
        <v>0.4380277778</v>
      </c>
    </row>
    <row r="50">
      <c r="A50" s="13" t="s">
        <v>56</v>
      </c>
      <c r="B50" s="17">
        <f t="shared" ref="B50:C50" si="16">((B47)+(B48))+(B49)</f>
        <v>10884.5</v>
      </c>
      <c r="C50" s="17">
        <f t="shared" si="16"/>
        <v>21000</v>
      </c>
      <c r="D50" s="17">
        <f t="shared" si="13"/>
        <v>-10115.5</v>
      </c>
      <c r="E50" s="18">
        <f t="shared" si="14"/>
        <v>0.5183095238</v>
      </c>
    </row>
    <row r="51">
      <c r="A51" s="13" t="s">
        <v>57</v>
      </c>
      <c r="B51" s="15">
        <f>165</f>
        <v>165</v>
      </c>
      <c r="C51" s="14"/>
      <c r="D51" s="15">
        <f t="shared" si="13"/>
        <v>165</v>
      </c>
      <c r="E51" s="16" t="str">
        <f t="shared" si="14"/>
        <v/>
      </c>
    </row>
    <row r="52">
      <c r="A52" s="13" t="s">
        <v>58</v>
      </c>
      <c r="B52" s="15">
        <f>0</f>
        <v>0</v>
      </c>
      <c r="C52" s="14"/>
      <c r="D52" s="15">
        <f t="shared" si="13"/>
        <v>0</v>
      </c>
      <c r="E52" s="16" t="str">
        <f t="shared" si="14"/>
        <v/>
      </c>
    </row>
    <row r="53">
      <c r="A53" s="13" t="s">
        <v>59</v>
      </c>
      <c r="B53" s="14"/>
      <c r="C53" s="15">
        <f>600</f>
        <v>600</v>
      </c>
      <c r="D53" s="15">
        <f t="shared" si="13"/>
        <v>-600</v>
      </c>
      <c r="E53" s="16">
        <f t="shared" si="14"/>
        <v>0</v>
      </c>
    </row>
    <row r="54">
      <c r="A54" s="13" t="s">
        <v>60</v>
      </c>
      <c r="B54" s="15">
        <f>409.89</f>
        <v>409.89</v>
      </c>
      <c r="C54" s="15">
        <f>6400</f>
        <v>6400</v>
      </c>
      <c r="D54" s="15">
        <f t="shared" si="13"/>
        <v>-5990.11</v>
      </c>
      <c r="E54" s="16">
        <f t="shared" si="14"/>
        <v>0.0640453125</v>
      </c>
    </row>
    <row r="55">
      <c r="A55" s="13" t="s">
        <v>61</v>
      </c>
      <c r="B55" s="15">
        <f>3328.32</f>
        <v>3328.32</v>
      </c>
      <c r="C55" s="15">
        <f>6000</f>
        <v>6000</v>
      </c>
      <c r="D55" s="15">
        <f t="shared" si="13"/>
        <v>-2671.68</v>
      </c>
      <c r="E55" s="16">
        <f t="shared" si="14"/>
        <v>0.55472</v>
      </c>
    </row>
    <row r="56">
      <c r="A56" s="13" t="s">
        <v>62</v>
      </c>
      <c r="B56" s="15">
        <f>1868.42</f>
        <v>1868.42</v>
      </c>
      <c r="C56" s="15">
        <f>15600</f>
        <v>15600</v>
      </c>
      <c r="D56" s="15">
        <f t="shared" si="13"/>
        <v>-13731.58</v>
      </c>
      <c r="E56" s="16">
        <f t="shared" si="14"/>
        <v>0.1197705128</v>
      </c>
    </row>
    <row r="57">
      <c r="A57" s="13" t="s">
        <v>63</v>
      </c>
      <c r="B57" s="15">
        <f>1484.7</f>
        <v>1484.7</v>
      </c>
      <c r="C57" s="15">
        <f>2200</f>
        <v>2200</v>
      </c>
      <c r="D57" s="15">
        <f t="shared" si="13"/>
        <v>-715.3</v>
      </c>
      <c r="E57" s="16">
        <f t="shared" si="14"/>
        <v>0.6748636364</v>
      </c>
    </row>
    <row r="58">
      <c r="A58" s="13" t="s">
        <v>64</v>
      </c>
      <c r="B58" s="14"/>
      <c r="C58" s="15">
        <f>100</f>
        <v>100</v>
      </c>
      <c r="D58" s="15">
        <f t="shared" si="13"/>
        <v>-100</v>
      </c>
      <c r="E58" s="16">
        <f t="shared" si="14"/>
        <v>0</v>
      </c>
    </row>
    <row r="59">
      <c r="A59" s="13" t="s">
        <v>65</v>
      </c>
      <c r="B59" s="15">
        <f>18.17</f>
        <v>18.17</v>
      </c>
      <c r="C59" s="15">
        <f>300</f>
        <v>300</v>
      </c>
      <c r="D59" s="15">
        <f t="shared" si="13"/>
        <v>-281.83</v>
      </c>
      <c r="E59" s="16">
        <f t="shared" si="14"/>
        <v>0.06056666667</v>
      </c>
    </row>
    <row r="60">
      <c r="A60" s="13" t="s">
        <v>66</v>
      </c>
      <c r="B60" s="15">
        <f>1521.73</f>
        <v>1521.73</v>
      </c>
      <c r="C60" s="14"/>
      <c r="D60" s="15">
        <f t="shared" si="13"/>
        <v>1521.73</v>
      </c>
      <c r="E60" s="16" t="str">
        <f t="shared" si="14"/>
        <v/>
      </c>
    </row>
    <row r="61">
      <c r="A61" s="13" t="s">
        <v>67</v>
      </c>
      <c r="B61" s="15">
        <f>577.24</f>
        <v>577.24</v>
      </c>
      <c r="C61" s="15">
        <f>1251</f>
        <v>1251</v>
      </c>
      <c r="D61" s="15">
        <f t="shared" si="13"/>
        <v>-673.76</v>
      </c>
      <c r="E61" s="16">
        <f t="shared" si="14"/>
        <v>0.4614228617</v>
      </c>
    </row>
    <row r="62">
      <c r="A62" s="13" t="s">
        <v>68</v>
      </c>
      <c r="B62" s="15">
        <f>128</f>
        <v>128</v>
      </c>
      <c r="C62" s="15">
        <f>240</f>
        <v>240</v>
      </c>
      <c r="D62" s="15">
        <f t="shared" si="13"/>
        <v>-112</v>
      </c>
      <c r="E62" s="16">
        <f t="shared" si="14"/>
        <v>0.5333333333</v>
      </c>
    </row>
    <row r="63">
      <c r="A63" s="13" t="s">
        <v>69</v>
      </c>
      <c r="B63" s="14"/>
      <c r="C63" s="14"/>
      <c r="D63" s="15">
        <f t="shared" si="13"/>
        <v>0</v>
      </c>
      <c r="E63" s="16" t="str">
        <f t="shared" si="14"/>
        <v/>
      </c>
    </row>
    <row r="64">
      <c r="A64" s="13" t="s">
        <v>70</v>
      </c>
      <c r="B64" s="15">
        <f>680.75</f>
        <v>680.75</v>
      </c>
      <c r="C64" s="15">
        <f>1000</f>
        <v>1000</v>
      </c>
      <c r="D64" s="15">
        <f t="shared" si="13"/>
        <v>-319.25</v>
      </c>
      <c r="E64" s="16">
        <f t="shared" si="14"/>
        <v>0.68075</v>
      </c>
    </row>
    <row r="65">
      <c r="A65" s="13" t="s">
        <v>71</v>
      </c>
      <c r="B65" s="15">
        <f>803.92</f>
        <v>803.92</v>
      </c>
      <c r="C65" s="14"/>
      <c r="D65" s="15">
        <f t="shared" si="13"/>
        <v>803.92</v>
      </c>
      <c r="E65" s="16" t="str">
        <f t="shared" si="14"/>
        <v/>
      </c>
    </row>
    <row r="66">
      <c r="A66" s="13" t="s">
        <v>72</v>
      </c>
      <c r="B66" s="17">
        <f t="shared" ref="B66:C66" si="17">((B63)+(B64))+(B65)</f>
        <v>1484.67</v>
      </c>
      <c r="C66" s="17">
        <f t="shared" si="17"/>
        <v>1000</v>
      </c>
      <c r="D66" s="17">
        <f t="shared" si="13"/>
        <v>484.67</v>
      </c>
      <c r="E66" s="18">
        <f t="shared" si="14"/>
        <v>1.48467</v>
      </c>
    </row>
    <row r="67">
      <c r="A67" s="13" t="s">
        <v>73</v>
      </c>
      <c r="B67" s="15">
        <f>425</f>
        <v>425</v>
      </c>
      <c r="C67" s="15">
        <f>2500</f>
        <v>2500</v>
      </c>
      <c r="D67" s="15">
        <f t="shared" si="13"/>
        <v>-2075</v>
      </c>
      <c r="E67" s="16">
        <f t="shared" si="14"/>
        <v>0.17</v>
      </c>
    </row>
    <row r="68">
      <c r="A68" s="13" t="s">
        <v>74</v>
      </c>
      <c r="B68" s="17">
        <f t="shared" ref="B68:C68" si="18">(((((((((((((((B46)+(B50))+(B51))+(B52))+(B53))+(B54))+(B55))+(B56))+(B57))+(B58))+(B59))+(B60))+(B61))+(B62))+(B66))+(B67)</f>
        <v>22295.64</v>
      </c>
      <c r="C68" s="17">
        <f t="shared" si="18"/>
        <v>57191</v>
      </c>
      <c r="D68" s="17">
        <f t="shared" si="13"/>
        <v>-34895.36</v>
      </c>
      <c r="E68" s="18">
        <f t="shared" si="14"/>
        <v>0.3898452554</v>
      </c>
    </row>
    <row r="69">
      <c r="A69" s="13" t="s">
        <v>75</v>
      </c>
      <c r="B69" s="15">
        <f>188.73</f>
        <v>188.73</v>
      </c>
      <c r="C69" s="14"/>
      <c r="D69" s="15">
        <f t="shared" si="13"/>
        <v>188.73</v>
      </c>
      <c r="E69" s="16" t="str">
        <f t="shared" si="14"/>
        <v/>
      </c>
    </row>
    <row r="70">
      <c r="A70" s="13" t="s">
        <v>76</v>
      </c>
      <c r="B70" s="14"/>
      <c r="C70" s="14"/>
      <c r="D70" s="15">
        <f t="shared" si="13"/>
        <v>0</v>
      </c>
      <c r="E70" s="16" t="str">
        <f t="shared" si="14"/>
        <v/>
      </c>
    </row>
    <row r="71">
      <c r="A71" s="13" t="s">
        <v>77</v>
      </c>
      <c r="B71" s="14"/>
      <c r="C71" s="14"/>
      <c r="D71" s="15">
        <f t="shared" si="13"/>
        <v>0</v>
      </c>
      <c r="E71" s="16" t="str">
        <f t="shared" si="14"/>
        <v/>
      </c>
    </row>
    <row r="72">
      <c r="A72" s="13" t="s">
        <v>78</v>
      </c>
      <c r="B72" s="15">
        <f>1650.6</f>
        <v>1650.6</v>
      </c>
      <c r="C72" s="14"/>
      <c r="D72" s="15">
        <f t="shared" si="13"/>
        <v>1650.6</v>
      </c>
      <c r="E72" s="16" t="str">
        <f t="shared" si="14"/>
        <v/>
      </c>
    </row>
    <row r="73">
      <c r="A73" s="13" t="s">
        <v>79</v>
      </c>
      <c r="B73" s="14"/>
      <c r="C73" s="15">
        <f>0</f>
        <v>0</v>
      </c>
      <c r="D73" s="15">
        <f t="shared" si="13"/>
        <v>0</v>
      </c>
      <c r="E73" s="16" t="str">
        <f t="shared" si="14"/>
        <v/>
      </c>
    </row>
    <row r="74">
      <c r="A74" s="13" t="s">
        <v>80</v>
      </c>
      <c r="B74" s="14"/>
      <c r="C74" s="15">
        <f>24000</f>
        <v>24000</v>
      </c>
      <c r="D74" s="15">
        <f t="shared" si="13"/>
        <v>-24000</v>
      </c>
      <c r="E74" s="16">
        <f t="shared" si="14"/>
        <v>0</v>
      </c>
    </row>
    <row r="75">
      <c r="A75" s="13" t="s">
        <v>81</v>
      </c>
      <c r="B75" s="14"/>
      <c r="C75" s="15">
        <f>12000</f>
        <v>12000</v>
      </c>
      <c r="D75" s="15">
        <f t="shared" si="13"/>
        <v>-12000</v>
      </c>
      <c r="E75" s="16">
        <f t="shared" si="14"/>
        <v>0</v>
      </c>
    </row>
    <row r="76">
      <c r="A76" s="13" t="s">
        <v>82</v>
      </c>
      <c r="B76" s="14"/>
      <c r="C76" s="15">
        <f>4319</f>
        <v>4319</v>
      </c>
      <c r="D76" s="15">
        <f t="shared" si="13"/>
        <v>-4319</v>
      </c>
      <c r="E76" s="16">
        <f t="shared" si="14"/>
        <v>0</v>
      </c>
    </row>
    <row r="77">
      <c r="A77" s="13" t="s">
        <v>83</v>
      </c>
      <c r="B77" s="14"/>
      <c r="C77" s="15">
        <f>4318</f>
        <v>4318</v>
      </c>
      <c r="D77" s="15">
        <f t="shared" si="13"/>
        <v>-4318</v>
      </c>
      <c r="E77" s="16">
        <f t="shared" si="14"/>
        <v>0</v>
      </c>
    </row>
    <row r="78">
      <c r="A78" s="13" t="s">
        <v>84</v>
      </c>
      <c r="B78" s="15">
        <f>2542.69</f>
        <v>2542.69</v>
      </c>
      <c r="C78" s="15">
        <f>31558</f>
        <v>31558</v>
      </c>
      <c r="D78" s="15">
        <f t="shared" si="13"/>
        <v>-29015.31</v>
      </c>
      <c r="E78" s="16">
        <f t="shared" si="14"/>
        <v>0.08057196274</v>
      </c>
    </row>
    <row r="79">
      <c r="A79" s="13" t="s">
        <v>85</v>
      </c>
      <c r="B79" s="15">
        <f>14535.39</f>
        <v>14535.39</v>
      </c>
      <c r="C79" s="14"/>
      <c r="D79" s="15">
        <f t="shared" si="13"/>
        <v>14535.39</v>
      </c>
      <c r="E79" s="16" t="str">
        <f t="shared" si="14"/>
        <v/>
      </c>
    </row>
    <row r="80">
      <c r="A80" s="13" t="s">
        <v>86</v>
      </c>
      <c r="B80" s="14"/>
      <c r="C80" s="15">
        <f>4334</f>
        <v>4334</v>
      </c>
      <c r="D80" s="15">
        <f t="shared" si="13"/>
        <v>-4334</v>
      </c>
      <c r="E80" s="16">
        <f t="shared" si="14"/>
        <v>0</v>
      </c>
    </row>
    <row r="81">
      <c r="A81" s="13" t="s">
        <v>87</v>
      </c>
      <c r="B81" s="14"/>
      <c r="C81" s="15">
        <f>4313</f>
        <v>4313</v>
      </c>
      <c r="D81" s="15">
        <f t="shared" si="13"/>
        <v>-4313</v>
      </c>
      <c r="E81" s="16">
        <f t="shared" si="14"/>
        <v>0</v>
      </c>
    </row>
    <row r="82">
      <c r="A82" s="13" t="s">
        <v>88</v>
      </c>
      <c r="B82" s="14"/>
      <c r="C82" s="15">
        <f>4317</f>
        <v>4317</v>
      </c>
      <c r="D82" s="15">
        <f t="shared" si="13"/>
        <v>-4317</v>
      </c>
      <c r="E82" s="16">
        <f t="shared" si="14"/>
        <v>0</v>
      </c>
    </row>
    <row r="83">
      <c r="A83" s="13" t="s">
        <v>89</v>
      </c>
      <c r="B83" s="15">
        <f>2501.13</f>
        <v>2501.13</v>
      </c>
      <c r="C83" s="15">
        <f t="shared" ref="C83:C84" si="19">16282</f>
        <v>16282</v>
      </c>
      <c r="D83" s="15">
        <f t="shared" si="13"/>
        <v>-13780.87</v>
      </c>
      <c r="E83" s="16">
        <f t="shared" si="14"/>
        <v>0.1536131925</v>
      </c>
    </row>
    <row r="84">
      <c r="A84" s="13" t="s">
        <v>90</v>
      </c>
      <c r="B84" s="15">
        <f>451.17</f>
        <v>451.17</v>
      </c>
      <c r="C84" s="15">
        <f t="shared" si="19"/>
        <v>16282</v>
      </c>
      <c r="D84" s="15">
        <f t="shared" si="13"/>
        <v>-15830.83</v>
      </c>
      <c r="E84" s="16">
        <f t="shared" si="14"/>
        <v>0.02770974082</v>
      </c>
    </row>
    <row r="85">
      <c r="A85" s="13" t="s">
        <v>91</v>
      </c>
      <c r="B85" s="14"/>
      <c r="C85" s="15">
        <f>8150</f>
        <v>8150</v>
      </c>
      <c r="D85" s="15">
        <f t="shared" si="13"/>
        <v>-8150</v>
      </c>
      <c r="E85" s="16">
        <f t="shared" si="14"/>
        <v>0</v>
      </c>
    </row>
    <row r="86">
      <c r="A86" s="13" t="s">
        <v>92</v>
      </c>
      <c r="B86" s="14"/>
      <c r="C86" s="15">
        <f>8154</f>
        <v>8154</v>
      </c>
      <c r="D86" s="15">
        <f t="shared" si="13"/>
        <v>-8154</v>
      </c>
      <c r="E86" s="16">
        <f t="shared" si="14"/>
        <v>0</v>
      </c>
    </row>
    <row r="87">
      <c r="A87" s="13" t="s">
        <v>93</v>
      </c>
      <c r="B87" s="14"/>
      <c r="C87" s="15">
        <f>4318</f>
        <v>4318</v>
      </c>
      <c r="D87" s="15">
        <f t="shared" si="13"/>
        <v>-4318</v>
      </c>
      <c r="E87" s="16">
        <f t="shared" si="14"/>
        <v>0</v>
      </c>
    </row>
    <row r="88">
      <c r="A88" s="13" t="s">
        <v>94</v>
      </c>
      <c r="B88" s="17">
        <f t="shared" ref="B88:C88" si="20">(((((((((((((((B72)+(B73))+(B74))+(B75))+(B76))+(B77))+(B78))+(B79))+(B80))+(B81))+(B82))+(B83))+(B84))+(B85))+(B86))+(B87)</f>
        <v>21680.98</v>
      </c>
      <c r="C88" s="17">
        <f t="shared" si="20"/>
        <v>142345</v>
      </c>
      <c r="D88" s="17">
        <f t="shared" si="13"/>
        <v>-120664.02</v>
      </c>
      <c r="E88" s="18">
        <f t="shared" si="14"/>
        <v>0.1523129018</v>
      </c>
    </row>
    <row r="89">
      <c r="A89" s="13" t="s">
        <v>95</v>
      </c>
      <c r="B89" s="17">
        <f t="shared" ref="B89:C89" si="21">(B71)+(B88)</f>
        <v>21680.98</v>
      </c>
      <c r="C89" s="17">
        <f t="shared" si="21"/>
        <v>142345</v>
      </c>
      <c r="D89" s="17">
        <f t="shared" si="13"/>
        <v>-120664.02</v>
      </c>
      <c r="E89" s="18">
        <f t="shared" si="14"/>
        <v>0.1523129018</v>
      </c>
    </row>
    <row r="90">
      <c r="A90" s="13" t="s">
        <v>96</v>
      </c>
      <c r="B90" s="14"/>
      <c r="C90" s="15">
        <f>5895</f>
        <v>5895</v>
      </c>
      <c r="D90" s="15">
        <f t="shared" si="13"/>
        <v>-5895</v>
      </c>
      <c r="E90" s="16">
        <f t="shared" si="14"/>
        <v>0</v>
      </c>
    </row>
    <row r="91">
      <c r="A91" s="13" t="s">
        <v>97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98</v>
      </c>
      <c r="B92" s="14"/>
      <c r="C92" s="14"/>
      <c r="D92" s="15">
        <f t="shared" si="13"/>
        <v>0</v>
      </c>
      <c r="E92" s="16" t="str">
        <f t="shared" si="14"/>
        <v/>
      </c>
    </row>
    <row r="93">
      <c r="A93" s="13" t="s">
        <v>99</v>
      </c>
      <c r="B93" s="15">
        <f>42216.6</f>
        <v>42216.6</v>
      </c>
      <c r="C93" s="15">
        <f>100000</f>
        <v>100000</v>
      </c>
      <c r="D93" s="15">
        <f t="shared" si="13"/>
        <v>-57783.4</v>
      </c>
      <c r="E93" s="16">
        <f t="shared" si="14"/>
        <v>0.422166</v>
      </c>
    </row>
    <row r="94">
      <c r="A94" s="13" t="s">
        <v>100</v>
      </c>
      <c r="B94" s="14"/>
      <c r="C94" s="15">
        <f>36703</f>
        <v>36703</v>
      </c>
      <c r="D94" s="15">
        <f t="shared" si="13"/>
        <v>-36703</v>
      </c>
      <c r="E94" s="16">
        <f t="shared" si="14"/>
        <v>0</v>
      </c>
    </row>
    <row r="95">
      <c r="A95" s="13" t="s">
        <v>101</v>
      </c>
      <c r="B95" s="14"/>
      <c r="C95" s="14"/>
      <c r="D95" s="15">
        <f t="shared" si="13"/>
        <v>0</v>
      </c>
      <c r="E95" s="16" t="str">
        <f t="shared" si="14"/>
        <v/>
      </c>
    </row>
    <row r="96">
      <c r="A96" s="13" t="s">
        <v>102</v>
      </c>
      <c r="B96" s="15">
        <f>6344.9</f>
        <v>6344.9</v>
      </c>
      <c r="C96" s="14"/>
      <c r="D96" s="15">
        <f t="shared" si="13"/>
        <v>6344.9</v>
      </c>
      <c r="E96" s="16" t="str">
        <f t="shared" si="14"/>
        <v/>
      </c>
    </row>
    <row r="97">
      <c r="A97" s="13" t="s">
        <v>103</v>
      </c>
      <c r="B97" s="15">
        <f>2000</f>
        <v>2000</v>
      </c>
      <c r="C97" s="14"/>
      <c r="D97" s="15">
        <f t="shared" si="13"/>
        <v>2000</v>
      </c>
      <c r="E97" s="16" t="str">
        <f t="shared" si="14"/>
        <v/>
      </c>
    </row>
    <row r="98">
      <c r="A98" s="13" t="s">
        <v>104</v>
      </c>
      <c r="B98" s="15">
        <f>593.32</f>
        <v>593.32</v>
      </c>
      <c r="C98" s="14"/>
      <c r="D98" s="15">
        <f t="shared" si="13"/>
        <v>593.32</v>
      </c>
      <c r="E98" s="16" t="str">
        <f t="shared" si="14"/>
        <v/>
      </c>
    </row>
    <row r="99">
      <c r="A99" s="13" t="s">
        <v>105</v>
      </c>
      <c r="B99" s="17">
        <f t="shared" ref="B99:C99" si="22">(((B95)+(B96))+(B97))+(B98)</f>
        <v>8938.22</v>
      </c>
      <c r="C99" s="17">
        <f t="shared" si="22"/>
        <v>0</v>
      </c>
      <c r="D99" s="17">
        <f t="shared" si="13"/>
        <v>8938.22</v>
      </c>
      <c r="E99" s="18" t="str">
        <f t="shared" si="14"/>
        <v/>
      </c>
    </row>
    <row r="100">
      <c r="A100" s="13" t="s">
        <v>106</v>
      </c>
      <c r="B100" s="15">
        <f>660</f>
        <v>660</v>
      </c>
      <c r="C100" s="14"/>
      <c r="D100" s="15">
        <f t="shared" si="13"/>
        <v>660</v>
      </c>
      <c r="E100" s="16" t="str">
        <f t="shared" si="14"/>
        <v/>
      </c>
    </row>
    <row r="101">
      <c r="A101" s="13" t="s">
        <v>107</v>
      </c>
      <c r="B101" s="15">
        <f>17090.59</f>
        <v>17090.59</v>
      </c>
      <c r="C101" s="14"/>
      <c r="D101" s="15">
        <f t="shared" si="13"/>
        <v>17090.59</v>
      </c>
      <c r="E101" s="16" t="str">
        <f t="shared" si="14"/>
        <v/>
      </c>
    </row>
    <row r="102">
      <c r="A102" s="13" t="s">
        <v>108</v>
      </c>
      <c r="B102" s="15">
        <f>2261.25</f>
        <v>2261.25</v>
      </c>
      <c r="C102" s="14"/>
      <c r="D102" s="15">
        <f t="shared" si="13"/>
        <v>2261.25</v>
      </c>
      <c r="E102" s="16" t="str">
        <f t="shared" si="14"/>
        <v/>
      </c>
    </row>
    <row r="103">
      <c r="A103" s="13" t="s">
        <v>109</v>
      </c>
      <c r="B103" s="15">
        <f>840.7</f>
        <v>840.7</v>
      </c>
      <c r="C103" s="14"/>
      <c r="D103" s="15">
        <f t="shared" si="13"/>
        <v>840.7</v>
      </c>
      <c r="E103" s="16" t="str">
        <f t="shared" si="14"/>
        <v/>
      </c>
    </row>
    <row r="104">
      <c r="A104" s="13" t="s">
        <v>110</v>
      </c>
      <c r="B104" s="17">
        <f t="shared" ref="B104:C104" si="23">(((((((B92)+(B93))+(B94))+(B99))+(B100))+(B101))+(B102))+(B103)</f>
        <v>72007.36</v>
      </c>
      <c r="C104" s="17">
        <f t="shared" si="23"/>
        <v>136703</v>
      </c>
      <c r="D104" s="17">
        <f t="shared" si="13"/>
        <v>-64695.64</v>
      </c>
      <c r="E104" s="18">
        <f t="shared" si="14"/>
        <v>0.5267430854</v>
      </c>
    </row>
    <row r="105">
      <c r="A105" s="13" t="s">
        <v>111</v>
      </c>
      <c r="B105" s="15">
        <f>834.95</f>
        <v>834.95</v>
      </c>
      <c r="C105" s="14"/>
      <c r="D105" s="15">
        <f t="shared" si="13"/>
        <v>834.95</v>
      </c>
      <c r="E105" s="16" t="str">
        <f t="shared" si="14"/>
        <v/>
      </c>
    </row>
    <row r="106">
      <c r="A106" s="13" t="s">
        <v>112</v>
      </c>
      <c r="B106" s="17">
        <f t="shared" ref="B106:C106" si="24">((B91)+(B104))+(B105)</f>
        <v>72842.31</v>
      </c>
      <c r="C106" s="17">
        <f t="shared" si="24"/>
        <v>136703</v>
      </c>
      <c r="D106" s="17">
        <f t="shared" si="13"/>
        <v>-63860.69</v>
      </c>
      <c r="E106" s="18">
        <f t="shared" si="14"/>
        <v>0.5328508518</v>
      </c>
    </row>
    <row r="107">
      <c r="A107" s="13" t="s">
        <v>113</v>
      </c>
      <c r="B107" s="17">
        <f t="shared" ref="B107:C107" si="25">(((B70)+(B89))+(B90))+(B106)</f>
        <v>94523.29</v>
      </c>
      <c r="C107" s="17">
        <f t="shared" si="25"/>
        <v>284943</v>
      </c>
      <c r="D107" s="17">
        <f t="shared" si="13"/>
        <v>-190419.71</v>
      </c>
      <c r="E107" s="18">
        <f t="shared" si="14"/>
        <v>0.3317270121</v>
      </c>
    </row>
    <row r="108">
      <c r="A108" s="13" t="s">
        <v>114</v>
      </c>
      <c r="B108" s="17">
        <f t="shared" ref="B108:C108" si="26">((B68)+(B69))+(B107)</f>
        <v>117007.66</v>
      </c>
      <c r="C108" s="17">
        <f t="shared" si="26"/>
        <v>342134</v>
      </c>
      <c r="D108" s="17">
        <f t="shared" si="13"/>
        <v>-225126.34</v>
      </c>
      <c r="E108" s="18">
        <f t="shared" si="14"/>
        <v>0.3419936633</v>
      </c>
    </row>
    <row r="109">
      <c r="A109" s="13" t="s">
        <v>115</v>
      </c>
      <c r="B109" s="17">
        <f t="shared" ref="B109:C109" si="27">(B44)-(B108)</f>
        <v>113666.36</v>
      </c>
      <c r="C109" s="17">
        <f t="shared" si="27"/>
        <v>73642</v>
      </c>
      <c r="D109" s="17">
        <f t="shared" si="13"/>
        <v>40024.36</v>
      </c>
      <c r="E109" s="18">
        <f t="shared" si="14"/>
        <v>1.54349909</v>
      </c>
    </row>
    <row r="110">
      <c r="A110" s="13" t="s">
        <v>4</v>
      </c>
      <c r="B110" s="17">
        <f t="shared" ref="B110:C110" si="28">(B109)+(0)</f>
        <v>113666.36</v>
      </c>
      <c r="C110" s="17">
        <f t="shared" si="28"/>
        <v>73642</v>
      </c>
      <c r="D110" s="17">
        <f t="shared" si="13"/>
        <v>40024.36</v>
      </c>
      <c r="E110" s="18">
        <f t="shared" si="14"/>
        <v>1.54349909</v>
      </c>
    </row>
    <row r="111">
      <c r="A111" s="13"/>
      <c r="B111" s="14"/>
      <c r="C111" s="14"/>
      <c r="D111" s="14"/>
      <c r="E111" s="14"/>
    </row>
    <row r="112"/>
    <row r="113"/>
    <row r="114">
      <c r="A114" s="19" t="s">
        <v>116</v>
      </c>
    </row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14:E114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  <c r="D2" s="39"/>
      <c r="E2" s="5" t="s">
        <v>128</v>
      </c>
    </row>
    <row r="3">
      <c r="A3" s="9" t="s">
        <v>244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40" t="s">
        <v>133</v>
      </c>
      <c r="B10" s="22">
        <f>165000</f>
        <v>165000</v>
      </c>
    </row>
    <row r="11">
      <c r="A11" s="40" t="s">
        <v>134</v>
      </c>
      <c r="B11" s="22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374906.76</f>
        <v>374906.76</v>
      </c>
    </row>
    <row r="16">
      <c r="A16" s="13" t="s">
        <v>140</v>
      </c>
      <c r="B16" s="15">
        <f>178300.99</f>
        <v>178300.99</v>
      </c>
    </row>
    <row r="17">
      <c r="A17" s="13" t="s">
        <v>141</v>
      </c>
      <c r="B17" s="15">
        <f>98244.87</f>
        <v>98244.87</v>
      </c>
      <c r="C17" s="5" t="s">
        <v>245</v>
      </c>
    </row>
    <row r="18">
      <c r="A18" s="13" t="s">
        <v>143</v>
      </c>
      <c r="B18" s="17">
        <f>(((B14)+(B15))+(B16))+(B17)</f>
        <v>651452.62</v>
      </c>
    </row>
    <row r="19">
      <c r="A19" s="13" t="s">
        <v>144</v>
      </c>
      <c r="B19" s="17">
        <f>(B13)+(B18)</f>
        <v>1005547.11</v>
      </c>
    </row>
    <row r="20">
      <c r="A20" s="13" t="s">
        <v>145</v>
      </c>
      <c r="B20" s="14"/>
    </row>
    <row r="21">
      <c r="A21" s="13" t="s">
        <v>146</v>
      </c>
      <c r="B21" s="15">
        <f>36084.79</f>
        <v>36084.79</v>
      </c>
    </row>
    <row r="22">
      <c r="A22" s="13" t="s">
        <v>147</v>
      </c>
      <c r="B22" s="17">
        <f>B21</f>
        <v>36084.79</v>
      </c>
    </row>
    <row r="23">
      <c r="A23" s="13" t="s">
        <v>148</v>
      </c>
      <c r="B23" s="14"/>
    </row>
    <row r="24">
      <c r="A24" s="13" t="s">
        <v>149</v>
      </c>
      <c r="B24" s="15">
        <f t="shared" ref="B24:B31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 t="shared" si="1"/>
        <v>0</v>
      </c>
    </row>
    <row r="28">
      <c r="A28" s="13" t="s">
        <v>153</v>
      </c>
      <c r="B28" s="15">
        <f t="shared" si="1"/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7">
        <f>(((((((B24)+(B25))+(B26))+(B27))+(B28))+(B29))+(B30))+(B31)</f>
        <v>0</v>
      </c>
    </row>
    <row r="33">
      <c r="A33" s="13" t="s">
        <v>158</v>
      </c>
      <c r="B33" s="17">
        <f>((B19)+(B22))+(B32)</f>
        <v>1041631.9</v>
      </c>
    </row>
    <row r="34">
      <c r="A34" s="13" t="s">
        <v>159</v>
      </c>
      <c r="B34" s="14"/>
    </row>
    <row r="35">
      <c r="A35" s="13" t="s">
        <v>160</v>
      </c>
      <c r="B35" s="15">
        <f>162750</f>
        <v>162750</v>
      </c>
    </row>
    <row r="36">
      <c r="A36" s="13" t="s">
        <v>161</v>
      </c>
      <c r="B36" s="15">
        <f>475000</f>
        <v>475000</v>
      </c>
    </row>
    <row r="37">
      <c r="A37" s="13" t="s">
        <v>162</v>
      </c>
      <c r="B37" s="15">
        <f>110000</f>
        <v>110000</v>
      </c>
    </row>
    <row r="38">
      <c r="A38" s="13" t="s">
        <v>163</v>
      </c>
      <c r="B38" s="17">
        <f>((B35)+(B36))+(B37)</f>
        <v>747750</v>
      </c>
    </row>
    <row r="39">
      <c r="A39" s="13" t="s">
        <v>164</v>
      </c>
      <c r="B39" s="14"/>
    </row>
    <row r="40">
      <c r="A40" s="13" t="s">
        <v>165</v>
      </c>
      <c r="B40" s="15">
        <f>0</f>
        <v>0</v>
      </c>
    </row>
    <row r="41">
      <c r="A41" s="13" t="s">
        <v>166</v>
      </c>
      <c r="B41" s="17">
        <f>B40</f>
        <v>0</v>
      </c>
    </row>
    <row r="42">
      <c r="A42" s="13" t="s">
        <v>167</v>
      </c>
      <c r="B42" s="17">
        <f>((B33)+(B38))+(B41)</f>
        <v>1789381.9</v>
      </c>
    </row>
    <row r="43">
      <c r="A43" s="13" t="s">
        <v>168</v>
      </c>
      <c r="B43" s="14"/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5">
        <f>950.89</f>
        <v>950.89</v>
      </c>
    </row>
    <row r="48">
      <c r="A48" s="13" t="s">
        <v>173</v>
      </c>
      <c r="B48" s="17">
        <f>B47</f>
        <v>950.89</v>
      </c>
    </row>
    <row r="49">
      <c r="A49" s="13" t="s">
        <v>174</v>
      </c>
      <c r="B49" s="14"/>
    </row>
    <row r="50">
      <c r="A50" s="13" t="s">
        <v>175</v>
      </c>
      <c r="B50" s="15">
        <f>0</f>
        <v>0</v>
      </c>
    </row>
    <row r="51">
      <c r="A51" s="13" t="s">
        <v>176</v>
      </c>
      <c r="B51" s="15">
        <f>1512.47</f>
        <v>1512.47</v>
      </c>
    </row>
    <row r="52">
      <c r="A52" s="13" t="s">
        <v>177</v>
      </c>
      <c r="B52" s="17">
        <f>(B50)+(B51)</f>
        <v>1512.47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17">
        <f>((B54)+(B55))+(B56)</f>
        <v>0</v>
      </c>
    </row>
    <row r="58">
      <c r="A58" s="13" t="s">
        <v>183</v>
      </c>
      <c r="B58" s="17">
        <f>((B48)+(B52))+(B57)</f>
        <v>2463.36</v>
      </c>
    </row>
    <row r="59">
      <c r="A59" s="13" t="s">
        <v>184</v>
      </c>
      <c r="B59" s="17">
        <f>B58</f>
        <v>2463.36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1698827.95</f>
        <v>1698827.95</v>
      </c>
    </row>
    <row r="63">
      <c r="A63" s="13" t="s">
        <v>188</v>
      </c>
      <c r="B63" s="15">
        <f>88090.59</f>
        <v>88090.59</v>
      </c>
    </row>
    <row r="64">
      <c r="A64" s="13" t="s">
        <v>189</v>
      </c>
      <c r="B64" s="17">
        <f>((B61)+(B62))+(B63)</f>
        <v>1786918.54</v>
      </c>
    </row>
    <row r="65">
      <c r="A65" s="13" t="s">
        <v>190</v>
      </c>
      <c r="B65" s="17">
        <f>(B59)+(B64)</f>
        <v>1789381.9</v>
      </c>
    </row>
    <row r="66">
      <c r="A66" s="13"/>
      <c r="B66" s="14"/>
    </row>
    <row r="67"/>
    <row r="68"/>
    <row r="69">
      <c r="A69" s="19" t="s">
        <v>246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2.75"/>
    <col customWidth="1" min="6" max="6" width="13.0"/>
    <col customWidth="1" min="7" max="26" width="7.63"/>
  </cols>
  <sheetData>
    <row r="1">
      <c r="A1" s="8" t="s">
        <v>6</v>
      </c>
    </row>
    <row r="2">
      <c r="A2" s="8" t="s">
        <v>117</v>
      </c>
    </row>
    <row r="3">
      <c r="A3" s="9" t="s">
        <v>240</v>
      </c>
    </row>
    <row r="5">
      <c r="A5" s="10"/>
      <c r="B5" s="11" t="s">
        <v>120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3757.88</f>
        <v>3757.88</v>
      </c>
      <c r="C8" s="15">
        <f t="shared" si="1"/>
        <v>3757.88</v>
      </c>
      <c r="E8" s="30" t="s">
        <v>210</v>
      </c>
      <c r="F8" s="31">
        <v>75000.0</v>
      </c>
    </row>
    <row r="9">
      <c r="A9" s="13" t="s">
        <v>43</v>
      </c>
      <c r="B9" s="15">
        <f>10243.58</f>
        <v>10243.58</v>
      </c>
      <c r="C9" s="15">
        <f t="shared" si="1"/>
        <v>10243.58</v>
      </c>
    </row>
    <row r="10">
      <c r="A10" s="13" t="s">
        <v>46</v>
      </c>
      <c r="B10" s="15">
        <f>2665.14</f>
        <v>2665.14</v>
      </c>
      <c r="C10" s="15">
        <f t="shared" si="1"/>
        <v>2665.14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17">
        <f>((B9)+(B10))+(B11)</f>
        <v>13807.43</v>
      </c>
      <c r="C12" s="17">
        <f t="shared" si="1"/>
        <v>13807.43</v>
      </c>
    </row>
    <row r="13">
      <c r="A13" s="13" t="s">
        <v>49</v>
      </c>
      <c r="B13" s="17">
        <f>((B7)+(B8))+(B12)</f>
        <v>17565.31</v>
      </c>
      <c r="C13" s="17">
        <f t="shared" si="1"/>
        <v>17565.31</v>
      </c>
    </row>
    <row r="14">
      <c r="A14" s="13" t="s">
        <v>2</v>
      </c>
      <c r="B14" s="17">
        <f>B13</f>
        <v>17565.31</v>
      </c>
      <c r="C14" s="17">
        <f t="shared" si="1"/>
        <v>17565.31</v>
      </c>
    </row>
    <row r="15">
      <c r="A15" s="13" t="s">
        <v>50</v>
      </c>
      <c r="B15" s="17">
        <f>(B14)-(0)</f>
        <v>17565.31</v>
      </c>
      <c r="C15" s="17">
        <f t="shared" si="1"/>
        <v>17565.31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17">
        <f>(B18)+(B19)</f>
        <v>991.25</v>
      </c>
      <c r="C20" s="17">
        <f t="shared" si="2"/>
        <v>991.25</v>
      </c>
    </row>
    <row r="21">
      <c r="A21" s="13" t="s">
        <v>66</v>
      </c>
      <c r="B21" s="15">
        <f>275</f>
        <v>275</v>
      </c>
      <c r="C21" s="15">
        <f t="shared" si="2"/>
        <v>275</v>
      </c>
    </row>
    <row r="22">
      <c r="A22" s="13" t="s">
        <v>68</v>
      </c>
      <c r="B22" s="15">
        <f>20</f>
        <v>20</v>
      </c>
      <c r="C22" s="15">
        <f t="shared" si="2"/>
        <v>20</v>
      </c>
    </row>
    <row r="23">
      <c r="A23" s="13" t="s">
        <v>74</v>
      </c>
      <c r="B23" s="17">
        <f>(((B17)+(B20))+(B21))+(B22)</f>
        <v>1286.25</v>
      </c>
      <c r="C23" s="17">
        <f t="shared" si="2"/>
        <v>1286.25</v>
      </c>
    </row>
    <row r="24">
      <c r="A24" s="13" t="s">
        <v>76</v>
      </c>
      <c r="B24" s="14"/>
      <c r="C24" s="15" t="str">
        <f t="shared" si="2"/>
        <v/>
      </c>
    </row>
    <row r="25">
      <c r="A25" s="13" t="s">
        <v>97</v>
      </c>
      <c r="B25" s="14"/>
      <c r="C25" s="15" t="str">
        <f t="shared" si="2"/>
        <v/>
      </c>
    </row>
    <row r="26">
      <c r="A26" s="13" t="s">
        <v>98</v>
      </c>
      <c r="B26" s="14"/>
      <c r="C26" s="15" t="str">
        <f t="shared" si="2"/>
        <v/>
      </c>
    </row>
    <row r="27">
      <c r="A27" s="13" t="s">
        <v>99</v>
      </c>
      <c r="B27" s="15">
        <f>27937.61</f>
        <v>27937.61</v>
      </c>
      <c r="C27" s="15">
        <f t="shared" si="2"/>
        <v>27937.61</v>
      </c>
    </row>
    <row r="28">
      <c r="A28" s="13" t="s">
        <v>109</v>
      </c>
      <c r="B28" s="15">
        <f>519.4</f>
        <v>519.4</v>
      </c>
      <c r="C28" s="15">
        <f t="shared" si="2"/>
        <v>519.4</v>
      </c>
    </row>
    <row r="29">
      <c r="A29" s="13" t="s">
        <v>110</v>
      </c>
      <c r="B29" s="17">
        <f>((B26)+(B27))+(B28)</f>
        <v>28457.01</v>
      </c>
      <c r="C29" s="17">
        <f t="shared" si="2"/>
        <v>28457.01</v>
      </c>
    </row>
    <row r="30">
      <c r="A30" s="13" t="s">
        <v>112</v>
      </c>
      <c r="B30" s="17">
        <f>(B25)+(B29)</f>
        <v>28457.01</v>
      </c>
      <c r="C30" s="17">
        <f t="shared" si="2"/>
        <v>28457.01</v>
      </c>
    </row>
    <row r="31">
      <c r="A31" s="13" t="s">
        <v>113</v>
      </c>
      <c r="B31" s="17">
        <f>(B24)+(B30)</f>
        <v>28457.01</v>
      </c>
      <c r="C31" s="17">
        <f t="shared" si="2"/>
        <v>28457.01</v>
      </c>
    </row>
    <row r="32">
      <c r="A32" s="13" t="s">
        <v>114</v>
      </c>
      <c r="B32" s="17">
        <f>(B23)+(B31)</f>
        <v>29743.26</v>
      </c>
      <c r="C32" s="17">
        <f t="shared" si="2"/>
        <v>29743.26</v>
      </c>
    </row>
    <row r="33">
      <c r="A33" s="13" t="s">
        <v>115</v>
      </c>
      <c r="B33" s="20">
        <f>(B15)-(B32)</f>
        <v>-12177.95</v>
      </c>
      <c r="C33" s="20">
        <f t="shared" si="2"/>
        <v>-12177.95</v>
      </c>
    </row>
    <row r="34">
      <c r="A34" s="13" t="s">
        <v>4</v>
      </c>
      <c r="B34" s="20">
        <f>(B33)+(0)</f>
        <v>-12177.95</v>
      </c>
      <c r="C34" s="20">
        <f t="shared" si="2"/>
        <v>-12177.95</v>
      </c>
    </row>
    <row r="35">
      <c r="A35" s="13"/>
      <c r="B35" s="14"/>
      <c r="C35" s="14"/>
    </row>
    <row r="36"/>
    <row r="37"/>
    <row r="38">
      <c r="A38" s="19" t="s">
        <v>247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4" width="7.63"/>
    <col customWidth="1" min="5" max="5" width="18.75"/>
    <col customWidth="1" min="6" max="6" width="12.13"/>
    <col customWidth="1" min="7" max="26" width="7.63"/>
  </cols>
  <sheetData>
    <row r="1">
      <c r="A1" s="8" t="s">
        <v>6</v>
      </c>
    </row>
    <row r="2">
      <c r="A2" s="8" t="s">
        <v>117</v>
      </c>
    </row>
    <row r="3">
      <c r="A3" s="9" t="s">
        <v>240</v>
      </c>
      <c r="E3" s="25" t="s">
        <v>195</v>
      </c>
      <c r="F3" s="33">
        <v>119745.1</v>
      </c>
    </row>
    <row r="5">
      <c r="A5" s="10"/>
      <c r="B5" s="11" t="s">
        <v>121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8157.31</f>
        <v>8157.31</v>
      </c>
      <c r="C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17">
        <f>((((((((((((((B7)+(B8))+(B9))+(B10))+(B11))+(B12))+(B13))+(B14))+(B15))+(B16))+(B17))+(B18))+(B19))+(B20))+(B21)</f>
        <v>119958.48</v>
      </c>
      <c r="C22" s="17">
        <f t="shared" si="1"/>
        <v>119958.48</v>
      </c>
    </row>
    <row r="23">
      <c r="A23" s="13" t="s">
        <v>2</v>
      </c>
      <c r="B23" s="17">
        <f>B22</f>
        <v>119958.48</v>
      </c>
      <c r="C23" s="17">
        <f t="shared" si="1"/>
        <v>119958.48</v>
      </c>
    </row>
    <row r="24">
      <c r="A24" s="13" t="s">
        <v>50</v>
      </c>
      <c r="B24" s="17">
        <f>(B23)-(0)</f>
        <v>119958.48</v>
      </c>
      <c r="C24" s="17">
        <f t="shared" si="1"/>
        <v>119958.48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0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74</v>
      </c>
      <c r="B28" s="17">
        <f>(B26)+(B27)</f>
        <v>0</v>
      </c>
      <c r="C28" s="17">
        <f t="shared" si="4"/>
        <v>0</v>
      </c>
    </row>
    <row r="29">
      <c r="A29" s="13" t="s">
        <v>76</v>
      </c>
      <c r="B29" s="14"/>
      <c r="C29" s="15" t="str">
        <f t="shared" si="4"/>
        <v/>
      </c>
    </row>
    <row r="30">
      <c r="A30" s="13" t="s">
        <v>77</v>
      </c>
      <c r="B30" s="14"/>
      <c r="C30" s="15" t="str">
        <f t="shared" si="4"/>
        <v/>
      </c>
    </row>
    <row r="31">
      <c r="A31" s="13" t="s">
        <v>78</v>
      </c>
      <c r="B31" s="14"/>
      <c r="C31" s="15" t="str">
        <f t="shared" si="4"/>
        <v/>
      </c>
    </row>
    <row r="32">
      <c r="A32" s="13" t="s">
        <v>84</v>
      </c>
      <c r="B32" s="15">
        <f>2555.07</f>
        <v>2555.07</v>
      </c>
      <c r="C32" s="15">
        <f t="shared" si="4"/>
        <v>2555.07</v>
      </c>
    </row>
    <row r="33">
      <c r="A33" s="13" t="s">
        <v>89</v>
      </c>
      <c r="B33" s="15">
        <f>164.06</f>
        <v>164.06</v>
      </c>
      <c r="C33" s="15">
        <f t="shared" si="4"/>
        <v>164.06</v>
      </c>
    </row>
    <row r="34">
      <c r="A34" s="13" t="s">
        <v>90</v>
      </c>
      <c r="B34" s="15">
        <f>328.12</f>
        <v>328.12</v>
      </c>
      <c r="C34" s="15">
        <f t="shared" si="4"/>
        <v>328.12</v>
      </c>
    </row>
    <row r="35">
      <c r="A35" s="13" t="s">
        <v>94</v>
      </c>
      <c r="B35" s="17">
        <f>(((B31)+(B32))+(B33))+(B34)</f>
        <v>3047.25</v>
      </c>
      <c r="C35" s="17">
        <f t="shared" si="4"/>
        <v>3047.25</v>
      </c>
    </row>
    <row r="36">
      <c r="A36" s="13" t="s">
        <v>95</v>
      </c>
      <c r="B36" s="17">
        <f>(B30)+(B35)</f>
        <v>3047.25</v>
      </c>
      <c r="C36" s="17">
        <f t="shared" si="4"/>
        <v>3047.25</v>
      </c>
    </row>
    <row r="37">
      <c r="A37" s="13" t="s">
        <v>113</v>
      </c>
      <c r="B37" s="17">
        <f>(B29)+(B36)</f>
        <v>3047.25</v>
      </c>
      <c r="C37" s="17">
        <f t="shared" si="4"/>
        <v>3047.25</v>
      </c>
    </row>
    <row r="38">
      <c r="A38" s="13" t="s">
        <v>114</v>
      </c>
      <c r="B38" s="17">
        <f>(B28)+(B37)</f>
        <v>3047.25</v>
      </c>
      <c r="C38" s="17">
        <f t="shared" si="4"/>
        <v>3047.25</v>
      </c>
    </row>
    <row r="39">
      <c r="A39" s="13" t="s">
        <v>115</v>
      </c>
      <c r="B39" s="17">
        <f>(B24)-(B38)</f>
        <v>116911.23</v>
      </c>
      <c r="C39" s="17">
        <f t="shared" si="4"/>
        <v>116911.23</v>
      </c>
    </row>
    <row r="40">
      <c r="A40" s="13" t="s">
        <v>4</v>
      </c>
      <c r="B40" s="17">
        <f>(B39)+(0)</f>
        <v>116911.23</v>
      </c>
      <c r="C40" s="17">
        <f t="shared" si="4"/>
        <v>116911.23</v>
      </c>
    </row>
    <row r="41">
      <c r="A41" s="13"/>
      <c r="B41" s="14"/>
      <c r="C41" s="14"/>
    </row>
    <row r="42"/>
    <row r="43"/>
    <row r="44">
      <c r="A44" s="19" t="s">
        <v>248</v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4:C44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5"/>
    <col customWidth="1" min="7" max="26" width="7.63"/>
  </cols>
  <sheetData>
    <row r="1">
      <c r="A1" s="8" t="s">
        <v>6</v>
      </c>
    </row>
    <row r="2">
      <c r="A2" s="8" t="s">
        <v>117</v>
      </c>
    </row>
    <row r="3">
      <c r="A3" s="9" t="s">
        <v>240</v>
      </c>
      <c r="F3" s="26" t="s">
        <v>197</v>
      </c>
    </row>
    <row r="4">
      <c r="F4" s="5" t="s">
        <v>198</v>
      </c>
    </row>
    <row r="5">
      <c r="A5" s="10"/>
      <c r="B5" s="11" t="s">
        <v>122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17">
        <f>(B8)+(B9)</f>
        <v>25898.36</v>
      </c>
      <c r="C10" s="17">
        <f t="shared" si="1"/>
        <v>25898.36</v>
      </c>
    </row>
    <row r="11">
      <c r="A11" s="13" t="s">
        <v>49</v>
      </c>
      <c r="B11" s="17">
        <f>(B7)+(B10)</f>
        <v>25898.36</v>
      </c>
      <c r="C11" s="17">
        <f t="shared" si="1"/>
        <v>25898.36</v>
      </c>
    </row>
    <row r="12">
      <c r="A12" s="13" t="s">
        <v>2</v>
      </c>
      <c r="B12" s="17">
        <f>B11</f>
        <v>25898.36</v>
      </c>
      <c r="C12" s="17">
        <f t="shared" si="1"/>
        <v>25898.36</v>
      </c>
    </row>
    <row r="13">
      <c r="A13" s="13" t="s">
        <v>50</v>
      </c>
      <c r="B13" s="17">
        <f>(B12)-(0)</f>
        <v>25898.36</v>
      </c>
      <c r="C13" s="1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76</v>
      </c>
      <c r="B15" s="14"/>
      <c r="C15" s="15" t="str">
        <f t="shared" ref="C15:C33" si="2">B15</f>
        <v/>
      </c>
    </row>
    <row r="16">
      <c r="A16" s="13" t="s">
        <v>97</v>
      </c>
      <c r="B16" s="15">
        <f>18909.88</f>
        <v>18909.88</v>
      </c>
      <c r="C16" s="15">
        <f t="shared" si="2"/>
        <v>18909.88</v>
      </c>
    </row>
    <row r="17">
      <c r="A17" s="13" t="s">
        <v>98</v>
      </c>
      <c r="B17" s="14"/>
      <c r="C17" s="15" t="str">
        <f t="shared" si="2"/>
        <v/>
      </c>
    </row>
    <row r="18">
      <c r="A18" s="13" t="s">
        <v>99</v>
      </c>
      <c r="B18" s="15">
        <f>6321.03</f>
        <v>6321.03</v>
      </c>
      <c r="C18" s="15">
        <f t="shared" si="2"/>
        <v>6321.03</v>
      </c>
    </row>
    <row r="19">
      <c r="A19" s="13" t="s">
        <v>101</v>
      </c>
      <c r="B19" s="14"/>
      <c r="C19" s="15" t="str">
        <f t="shared" si="2"/>
        <v/>
      </c>
    </row>
    <row r="20">
      <c r="A20" s="13" t="s">
        <v>241</v>
      </c>
      <c r="B20" s="15">
        <f>497.45</f>
        <v>497.45</v>
      </c>
      <c r="C20" s="15">
        <f t="shared" si="2"/>
        <v>497.45</v>
      </c>
    </row>
    <row r="21">
      <c r="A21" s="13" t="s">
        <v>104</v>
      </c>
      <c r="B21" s="15">
        <f>74.52</f>
        <v>74.52</v>
      </c>
      <c r="C21" s="15">
        <f t="shared" si="2"/>
        <v>74.52</v>
      </c>
    </row>
    <row r="22">
      <c r="A22" s="13" t="s">
        <v>105</v>
      </c>
      <c r="B22" s="17">
        <f>((B19)+(B20))+(B21)</f>
        <v>571.97</v>
      </c>
      <c r="C22" s="17">
        <f t="shared" si="2"/>
        <v>571.97</v>
      </c>
    </row>
    <row r="23">
      <c r="A23" s="13" t="s">
        <v>106</v>
      </c>
      <c r="B23" s="15">
        <f>55</f>
        <v>55</v>
      </c>
      <c r="C23" s="15">
        <f t="shared" si="2"/>
        <v>55</v>
      </c>
    </row>
    <row r="24">
      <c r="A24" s="13" t="s">
        <v>107</v>
      </c>
      <c r="B24" s="15">
        <f>4378.09</f>
        <v>4378.09</v>
      </c>
      <c r="C24" s="15">
        <f t="shared" si="2"/>
        <v>4378.09</v>
      </c>
    </row>
    <row r="25">
      <c r="A25" s="13" t="s">
        <v>108</v>
      </c>
      <c r="B25" s="15">
        <f>506.25</f>
        <v>506.25</v>
      </c>
      <c r="C25" s="15">
        <f t="shared" si="2"/>
        <v>506.25</v>
      </c>
    </row>
    <row r="26">
      <c r="A26" s="13" t="s">
        <v>109</v>
      </c>
      <c r="B26" s="15">
        <f>321.3</f>
        <v>321.3</v>
      </c>
      <c r="C26" s="15">
        <f t="shared" si="2"/>
        <v>321.3</v>
      </c>
    </row>
    <row r="27">
      <c r="A27" s="13" t="s">
        <v>110</v>
      </c>
      <c r="B27" s="17">
        <f>((((((B17)+(B18))+(B22))+(B23))+(B24))+(B25))+(B26)</f>
        <v>12153.64</v>
      </c>
      <c r="C27" s="17">
        <f t="shared" si="2"/>
        <v>12153.64</v>
      </c>
    </row>
    <row r="28">
      <c r="A28" s="13" t="s">
        <v>111</v>
      </c>
      <c r="B28" s="15">
        <f>27.93</f>
        <v>27.93</v>
      </c>
      <c r="C28" s="15">
        <f t="shared" si="2"/>
        <v>27.93</v>
      </c>
    </row>
    <row r="29">
      <c r="A29" s="13" t="s">
        <v>112</v>
      </c>
      <c r="B29" s="17">
        <f>((B16)+(B27))+(B28)</f>
        <v>31091.45</v>
      </c>
      <c r="C29" s="17">
        <f t="shared" si="2"/>
        <v>31091.45</v>
      </c>
    </row>
    <row r="30">
      <c r="A30" s="13" t="s">
        <v>113</v>
      </c>
      <c r="B30" s="17">
        <f>(B15)+(B29)</f>
        <v>31091.45</v>
      </c>
      <c r="C30" s="17">
        <f t="shared" si="2"/>
        <v>31091.45</v>
      </c>
    </row>
    <row r="31">
      <c r="A31" s="13" t="s">
        <v>114</v>
      </c>
      <c r="B31" s="17">
        <f>B30</f>
        <v>31091.45</v>
      </c>
      <c r="C31" s="17">
        <f t="shared" si="2"/>
        <v>31091.45</v>
      </c>
    </row>
    <row r="32">
      <c r="A32" s="13" t="s">
        <v>115</v>
      </c>
      <c r="B32" s="20">
        <f>(B13)-(B31)</f>
        <v>-5193.09</v>
      </c>
      <c r="C32" s="20">
        <f t="shared" si="2"/>
        <v>-5193.09</v>
      </c>
    </row>
    <row r="33">
      <c r="A33" s="13" t="s">
        <v>4</v>
      </c>
      <c r="B33" s="20">
        <f>(B32)+(0)</f>
        <v>-5193.09</v>
      </c>
      <c r="C33" s="20">
        <f t="shared" si="2"/>
        <v>-5193.09</v>
      </c>
    </row>
    <row r="34">
      <c r="A34" s="13"/>
      <c r="B34" s="14"/>
      <c r="C34" s="14"/>
    </row>
    <row r="35"/>
    <row r="36"/>
    <row r="37">
      <c r="A37" s="19" t="s">
        <v>249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4" width="10.5"/>
    <col customWidth="1" min="5" max="5" width="26.3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214</v>
      </c>
    </row>
    <row r="3">
      <c r="A3" s="9" t="s">
        <v>244</v>
      </c>
    </row>
    <row r="5">
      <c r="B5" s="11" t="s">
        <v>216</v>
      </c>
      <c r="C5" s="11" t="s">
        <v>217</v>
      </c>
      <c r="D5" s="11" t="s">
        <v>218</v>
      </c>
      <c r="E5" s="11" t="s">
        <v>219</v>
      </c>
      <c r="F5" s="11" t="s">
        <v>220</v>
      </c>
      <c r="G5" s="11" t="s">
        <v>221</v>
      </c>
      <c r="H5" s="11" t="s">
        <v>222</v>
      </c>
      <c r="I5" s="11" t="s">
        <v>223</v>
      </c>
    </row>
    <row r="6">
      <c r="A6" s="13" t="s">
        <v>224</v>
      </c>
    </row>
    <row r="7">
      <c r="B7" s="34" t="s">
        <v>250</v>
      </c>
      <c r="C7" s="34" t="s">
        <v>226</v>
      </c>
      <c r="D7" s="34">
        <v>9824.0</v>
      </c>
      <c r="E7" s="34" t="s">
        <v>251</v>
      </c>
      <c r="F7" s="34" t="s">
        <v>250</v>
      </c>
      <c r="G7" s="35">
        <v>23.0</v>
      </c>
      <c r="H7" s="15">
        <v>812.5</v>
      </c>
      <c r="I7" s="15">
        <v>812.5</v>
      </c>
    </row>
    <row r="8">
      <c r="B8" s="34" t="s">
        <v>252</v>
      </c>
      <c r="C8" s="34" t="s">
        <v>226</v>
      </c>
      <c r="D8" s="34">
        <v>126273.0</v>
      </c>
      <c r="E8" s="34" t="s">
        <v>253</v>
      </c>
      <c r="F8" s="34" t="s">
        <v>252</v>
      </c>
      <c r="G8" s="35">
        <v>19.0</v>
      </c>
      <c r="H8" s="15">
        <v>138.39</v>
      </c>
      <c r="I8" s="15">
        <v>138.39</v>
      </c>
    </row>
    <row r="9">
      <c r="A9" s="13" t="s">
        <v>229</v>
      </c>
      <c r="H9" s="17">
        <v>950.89</v>
      </c>
      <c r="I9" s="17">
        <v>950.89</v>
      </c>
    </row>
    <row r="10">
      <c r="A10" s="13" t="s">
        <v>124</v>
      </c>
      <c r="H10" s="17">
        <v>950.89</v>
      </c>
      <c r="I10" s="17">
        <v>950.89</v>
      </c>
    </row>
    <row r="13">
      <c r="A13" s="19" t="s">
        <v>254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3:I13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255</v>
      </c>
    </row>
    <row r="3">
      <c r="A3" s="9" t="s">
        <v>244</v>
      </c>
    </row>
    <row r="5">
      <c r="A5" s="10"/>
      <c r="B5" s="11" t="s">
        <v>230</v>
      </c>
      <c r="C5" s="11" t="s">
        <v>256</v>
      </c>
      <c r="D5" s="11" t="s">
        <v>257</v>
      </c>
      <c r="E5" s="11" t="s">
        <v>258</v>
      </c>
      <c r="F5" s="11" t="s">
        <v>259</v>
      </c>
      <c r="G5" s="11" t="s">
        <v>9</v>
      </c>
    </row>
    <row r="6">
      <c r="A6" s="13" t="s">
        <v>120</v>
      </c>
      <c r="B6" s="14"/>
      <c r="C6" s="14"/>
      <c r="D6" s="15">
        <f>36084.79</f>
        <v>36084.79</v>
      </c>
      <c r="E6" s="14"/>
      <c r="F6" s="14"/>
      <c r="G6" s="15">
        <f t="shared" ref="G6:G7" si="2">((((B6)+(C6))+(D6))+(E6))+(F6)</f>
        <v>36084.79</v>
      </c>
    </row>
    <row r="7">
      <c r="A7" s="13" t="s">
        <v>124</v>
      </c>
      <c r="B7" s="17" t="str">
        <f t="shared" ref="B7:F7" si="1">B6</f>
        <v/>
      </c>
      <c r="C7" s="17" t="str">
        <f t="shared" si="1"/>
        <v/>
      </c>
      <c r="D7" s="17">
        <f t="shared" si="1"/>
        <v>36084.79</v>
      </c>
      <c r="E7" s="17" t="str">
        <f t="shared" si="1"/>
        <v/>
      </c>
      <c r="F7" s="17" t="str">
        <f t="shared" si="1"/>
        <v/>
      </c>
      <c r="G7" s="17">
        <f t="shared" si="2"/>
        <v>36084.79</v>
      </c>
    </row>
    <row r="8">
      <c r="A8" s="13"/>
      <c r="B8" s="14"/>
      <c r="C8" s="14"/>
      <c r="D8" s="14"/>
      <c r="E8" s="14"/>
      <c r="F8" s="14"/>
      <c r="G8" s="14"/>
    </row>
    <row r="11">
      <c r="A11" s="19" t="s">
        <v>260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1:G11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7</v>
      </c>
    </row>
    <row r="3">
      <c r="A3" s="9" t="s">
        <v>261</v>
      </c>
    </row>
    <row r="5">
      <c r="A5" s="10"/>
      <c r="B5" s="11" t="s">
        <v>9</v>
      </c>
      <c r="C5" s="12"/>
      <c r="D5" s="12"/>
      <c r="E5" s="12"/>
    </row>
    <row r="6">
      <c r="A6" s="10"/>
      <c r="B6" s="11" t="s">
        <v>10</v>
      </c>
      <c r="C6" s="11" t="s">
        <v>11</v>
      </c>
      <c r="D6" s="11" t="s">
        <v>12</v>
      </c>
      <c r="E6" s="11" t="s">
        <v>13</v>
      </c>
    </row>
    <row r="7">
      <c r="A7" s="13" t="s">
        <v>14</v>
      </c>
      <c r="B7" s="14"/>
      <c r="C7" s="14"/>
      <c r="D7" s="14"/>
      <c r="E7" s="14"/>
    </row>
    <row r="8">
      <c r="A8" s="13" t="s">
        <v>16</v>
      </c>
      <c r="B8" s="14"/>
      <c r="C8" s="14"/>
      <c r="D8" s="15">
        <f t="shared" ref="D8:D43" si="1">(B8)-(C8)</f>
        <v>0</v>
      </c>
      <c r="E8" s="16" t="str">
        <f t="shared" ref="E8:E43" si="2">IF(C8=0,"",(B8)/(C8))</f>
        <v/>
      </c>
    </row>
    <row r="9">
      <c r="A9" s="13" t="s">
        <v>17</v>
      </c>
      <c r="B9" s="15">
        <f>896.54</f>
        <v>896.54</v>
      </c>
      <c r="C9" s="15">
        <f>13600</f>
        <v>13600</v>
      </c>
      <c r="D9" s="15">
        <f t="shared" si="1"/>
        <v>-12703.46</v>
      </c>
      <c r="E9" s="16">
        <f t="shared" si="2"/>
        <v>0.06592205882</v>
      </c>
    </row>
    <row r="10">
      <c r="A10" s="13" t="s">
        <v>18</v>
      </c>
      <c r="B10" s="17">
        <f t="shared" ref="B10:C10" si="3">(B8)+(B9)</f>
        <v>896.54</v>
      </c>
      <c r="C10" s="17">
        <f t="shared" si="3"/>
        <v>13600</v>
      </c>
      <c r="D10" s="17">
        <f t="shared" si="1"/>
        <v>-12703.46</v>
      </c>
      <c r="E10" s="18">
        <f t="shared" si="2"/>
        <v>0.06592205882</v>
      </c>
    </row>
    <row r="11">
      <c r="A11" s="13" t="s">
        <v>19</v>
      </c>
      <c r="B11" s="14"/>
      <c r="C11" s="14"/>
      <c r="D11" s="15">
        <f t="shared" si="1"/>
        <v>0</v>
      </c>
      <c r="E11" s="16" t="str">
        <f t="shared" si="2"/>
        <v/>
      </c>
    </row>
    <row r="12">
      <c r="A12" s="13" t="s">
        <v>20</v>
      </c>
      <c r="B12" s="15">
        <f>0</f>
        <v>0</v>
      </c>
      <c r="C12" s="14"/>
      <c r="D12" s="15">
        <f t="shared" si="1"/>
        <v>0</v>
      </c>
      <c r="E12" s="16" t="str">
        <f t="shared" si="2"/>
        <v/>
      </c>
    </row>
    <row r="13">
      <c r="A13" s="13" t="s">
        <v>21</v>
      </c>
      <c r="B13" s="17">
        <f t="shared" ref="B13:C13" si="4">(B11)+(B12)</f>
        <v>0</v>
      </c>
      <c r="C13" s="17">
        <f t="shared" si="4"/>
        <v>0</v>
      </c>
      <c r="D13" s="17">
        <f t="shared" si="1"/>
        <v>0</v>
      </c>
      <c r="E13" s="18" t="str">
        <f t="shared" si="2"/>
        <v/>
      </c>
    </row>
    <row r="14">
      <c r="A14" s="13" t="s">
        <v>22</v>
      </c>
      <c r="B14" s="14"/>
      <c r="C14" s="14"/>
      <c r="D14" s="15">
        <f t="shared" si="1"/>
        <v>0</v>
      </c>
      <c r="E14" s="16" t="str">
        <f t="shared" si="2"/>
        <v/>
      </c>
    </row>
    <row r="15">
      <c r="A15" s="13" t="s">
        <v>23</v>
      </c>
      <c r="B15" s="14"/>
      <c r="C15" s="15">
        <f>30000</f>
        <v>30000</v>
      </c>
      <c r="D15" s="15">
        <f t="shared" si="1"/>
        <v>-30000</v>
      </c>
      <c r="E15" s="16">
        <f t="shared" si="2"/>
        <v>0</v>
      </c>
    </row>
    <row r="16">
      <c r="A16" s="13" t="s">
        <v>24</v>
      </c>
      <c r="B16" s="14"/>
      <c r="C16" s="15">
        <f>15000</f>
        <v>15000</v>
      </c>
      <c r="D16" s="15">
        <f t="shared" si="1"/>
        <v>-15000</v>
      </c>
      <c r="E16" s="16">
        <f t="shared" si="2"/>
        <v>0</v>
      </c>
    </row>
    <row r="17">
      <c r="A17" s="13" t="s">
        <v>25</v>
      </c>
      <c r="B17" s="15">
        <f t="shared" ref="B17:B18" si="5">2577.08</f>
        <v>2577.08</v>
      </c>
      <c r="C17" s="15">
        <f>5155</f>
        <v>5155</v>
      </c>
      <c r="D17" s="15">
        <f t="shared" si="1"/>
        <v>-2577.92</v>
      </c>
      <c r="E17" s="16">
        <f t="shared" si="2"/>
        <v>0.4999185257</v>
      </c>
    </row>
    <row r="18">
      <c r="A18" s="13" t="s">
        <v>26</v>
      </c>
      <c r="B18" s="15">
        <f t="shared" si="5"/>
        <v>2577.08</v>
      </c>
      <c r="C18" s="15">
        <f>5154</f>
        <v>5154</v>
      </c>
      <c r="D18" s="15">
        <f t="shared" si="1"/>
        <v>-2576.92</v>
      </c>
      <c r="E18" s="16">
        <f t="shared" si="2"/>
        <v>0.5000155219</v>
      </c>
    </row>
    <row r="19">
      <c r="A19" s="13" t="s">
        <v>27</v>
      </c>
      <c r="B19" s="15">
        <f>33266.72</f>
        <v>33266.72</v>
      </c>
      <c r="C19" s="15">
        <f>66534</f>
        <v>66534</v>
      </c>
      <c r="D19" s="15">
        <f t="shared" si="1"/>
        <v>-33267.28</v>
      </c>
      <c r="E19" s="16">
        <f t="shared" si="2"/>
        <v>0.4999957916</v>
      </c>
    </row>
    <row r="20">
      <c r="A20" s="13" t="s">
        <v>28</v>
      </c>
      <c r="B20" s="15">
        <f>2586.08</f>
        <v>2586.08</v>
      </c>
      <c r="C20" s="15">
        <f>5172</f>
        <v>5172</v>
      </c>
      <c r="D20" s="15">
        <f t="shared" si="1"/>
        <v>-2585.92</v>
      </c>
      <c r="E20" s="16">
        <f t="shared" si="2"/>
        <v>0.5000154679</v>
      </c>
    </row>
    <row r="21">
      <c r="A21" s="13" t="s">
        <v>29</v>
      </c>
      <c r="B21" s="15">
        <f>2573.85</f>
        <v>2573.85</v>
      </c>
      <c r="C21" s="14"/>
      <c r="D21" s="15">
        <f t="shared" si="1"/>
        <v>2573.85</v>
      </c>
      <c r="E21" s="16" t="str">
        <f t="shared" si="2"/>
        <v/>
      </c>
    </row>
    <row r="22">
      <c r="A22" s="13" t="s">
        <v>30</v>
      </c>
      <c r="B22" s="14"/>
      <c r="C22" s="15">
        <f>5148</f>
        <v>5148</v>
      </c>
      <c r="D22" s="15">
        <f t="shared" si="1"/>
        <v>-5148</v>
      </c>
      <c r="E22" s="16">
        <f t="shared" si="2"/>
        <v>0</v>
      </c>
    </row>
    <row r="23">
      <c r="A23" s="13" t="s">
        <v>31</v>
      </c>
      <c r="B23" s="15">
        <f>2576.08</f>
        <v>2576.08</v>
      </c>
      <c r="C23" s="15">
        <f>5152</f>
        <v>5152</v>
      </c>
      <c r="D23" s="15">
        <f t="shared" si="1"/>
        <v>-2575.92</v>
      </c>
      <c r="E23" s="16">
        <f t="shared" si="2"/>
        <v>0.500015528</v>
      </c>
    </row>
    <row r="24">
      <c r="A24" s="13" t="s">
        <v>32</v>
      </c>
      <c r="B24" s="15">
        <f>15000</f>
        <v>15000</v>
      </c>
      <c r="C24" s="14"/>
      <c r="D24" s="15">
        <f t="shared" si="1"/>
        <v>15000</v>
      </c>
      <c r="E24" s="16" t="str">
        <f t="shared" si="2"/>
        <v/>
      </c>
    </row>
    <row r="25">
      <c r="A25" s="13" t="s">
        <v>33</v>
      </c>
      <c r="B25" s="15">
        <f>8157.31</f>
        <v>8157.31</v>
      </c>
      <c r="C25" s="14"/>
      <c r="D25" s="15">
        <f t="shared" si="1"/>
        <v>8157.31</v>
      </c>
      <c r="E25" s="16" t="str">
        <f t="shared" si="2"/>
        <v/>
      </c>
    </row>
    <row r="26">
      <c r="A26" s="13" t="s">
        <v>34</v>
      </c>
      <c r="B26" s="15">
        <f t="shared" ref="B26:B27" si="6">9738.23</f>
        <v>9738.23</v>
      </c>
      <c r="C26" s="15">
        <f t="shared" ref="C26:C27" si="7">19476</f>
        <v>19476</v>
      </c>
      <c r="D26" s="15">
        <f t="shared" si="1"/>
        <v>-9737.77</v>
      </c>
      <c r="E26" s="16">
        <f t="shared" si="2"/>
        <v>0.5000118094</v>
      </c>
    </row>
    <row r="27">
      <c r="A27" s="13" t="s">
        <v>35</v>
      </c>
      <c r="B27" s="15">
        <f t="shared" si="6"/>
        <v>9738.23</v>
      </c>
      <c r="C27" s="15">
        <f t="shared" si="7"/>
        <v>19476</v>
      </c>
      <c r="D27" s="15">
        <f t="shared" si="1"/>
        <v>-9737.77</v>
      </c>
      <c r="E27" s="16">
        <f t="shared" si="2"/>
        <v>0.5000118094</v>
      </c>
    </row>
    <row r="28">
      <c r="A28" s="13" t="s">
        <v>36</v>
      </c>
      <c r="B28" s="15">
        <f>18839.93</f>
        <v>18839.93</v>
      </c>
      <c r="C28" s="15">
        <f>37680</f>
        <v>37680</v>
      </c>
      <c r="D28" s="15">
        <f t="shared" si="1"/>
        <v>-18840.07</v>
      </c>
      <c r="E28" s="16">
        <f t="shared" si="2"/>
        <v>0.4999981423</v>
      </c>
    </row>
    <row r="29">
      <c r="A29" s="13" t="s">
        <v>37</v>
      </c>
      <c r="B29" s="15">
        <f>4876.41</f>
        <v>4876.41</v>
      </c>
      <c r="C29" s="15">
        <f>9753</f>
        <v>9753</v>
      </c>
      <c r="D29" s="15">
        <f t="shared" si="1"/>
        <v>-4876.59</v>
      </c>
      <c r="E29" s="16">
        <f t="shared" si="2"/>
        <v>0.4999907721</v>
      </c>
    </row>
    <row r="30">
      <c r="A30" s="13" t="s">
        <v>38</v>
      </c>
      <c r="B30" s="15">
        <f>4874.4</f>
        <v>4874.4</v>
      </c>
      <c r="C30" s="15">
        <f>9749</f>
        <v>9749</v>
      </c>
      <c r="D30" s="15">
        <f t="shared" si="1"/>
        <v>-4874.6</v>
      </c>
      <c r="E30" s="16">
        <f t="shared" si="2"/>
        <v>0.4999897425</v>
      </c>
    </row>
    <row r="31">
      <c r="A31" s="13" t="s">
        <v>39</v>
      </c>
      <c r="B31" s="15">
        <f>2577.08</f>
        <v>2577.08</v>
      </c>
      <c r="C31" s="15">
        <f>5154</f>
        <v>5154</v>
      </c>
      <c r="D31" s="15">
        <f t="shared" si="1"/>
        <v>-2576.92</v>
      </c>
      <c r="E31" s="16">
        <f t="shared" si="2"/>
        <v>0.5000155219</v>
      </c>
    </row>
    <row r="32">
      <c r="A32" s="13" t="s">
        <v>40</v>
      </c>
      <c r="B32" s="17">
        <f t="shared" ref="B32:C32" si="8">(((((((((((((((((B14)+(B15))+(B16))+(B17))+(B18))+(B19))+(B20))+(B21))+(B22))+(B23))+(B24))+(B25))+(B26))+(B27))+(B28))+(B29))+(B30))+(B31)</f>
        <v>119958.48</v>
      </c>
      <c r="C32" s="17">
        <f t="shared" si="8"/>
        <v>238603</v>
      </c>
      <c r="D32" s="17">
        <f t="shared" si="1"/>
        <v>-118644.52</v>
      </c>
      <c r="E32" s="18">
        <f t="shared" si="2"/>
        <v>0.502753444</v>
      </c>
    </row>
    <row r="33">
      <c r="A33" s="13" t="s">
        <v>41</v>
      </c>
      <c r="B33" s="14"/>
      <c r="C33" s="14"/>
      <c r="D33" s="15">
        <f t="shared" si="1"/>
        <v>0</v>
      </c>
      <c r="E33" s="16" t="str">
        <f t="shared" si="2"/>
        <v/>
      </c>
    </row>
    <row r="34">
      <c r="A34" s="13" t="s">
        <v>42</v>
      </c>
      <c r="B34" s="15">
        <f>3757.88</f>
        <v>3757.88</v>
      </c>
      <c r="C34" s="14"/>
      <c r="D34" s="15">
        <f t="shared" si="1"/>
        <v>3757.88</v>
      </c>
      <c r="E34" s="16" t="str">
        <f t="shared" si="2"/>
        <v/>
      </c>
    </row>
    <row r="35">
      <c r="A35" s="13" t="s">
        <v>43</v>
      </c>
      <c r="B35" s="15">
        <f>28763.06</f>
        <v>28763.06</v>
      </c>
      <c r="C35" s="14"/>
      <c r="D35" s="15">
        <f t="shared" si="1"/>
        <v>28763.06</v>
      </c>
      <c r="E35" s="16" t="str">
        <f t="shared" si="2"/>
        <v/>
      </c>
    </row>
    <row r="36">
      <c r="A36" s="13" t="s">
        <v>44</v>
      </c>
      <c r="B36" s="15">
        <f>25898.36</f>
        <v>25898.36</v>
      </c>
      <c r="C36" s="15">
        <f>110000</f>
        <v>110000</v>
      </c>
      <c r="D36" s="15">
        <f t="shared" si="1"/>
        <v>-84101.64</v>
      </c>
      <c r="E36" s="16">
        <f t="shared" si="2"/>
        <v>0.2354396364</v>
      </c>
    </row>
    <row r="37">
      <c r="A37" s="13" t="s">
        <v>45</v>
      </c>
      <c r="B37" s="14"/>
      <c r="C37" s="15">
        <f>53573</f>
        <v>53573</v>
      </c>
      <c r="D37" s="15">
        <f t="shared" si="1"/>
        <v>-53573</v>
      </c>
      <c r="E37" s="16">
        <f t="shared" si="2"/>
        <v>0</v>
      </c>
    </row>
    <row r="38">
      <c r="A38" s="13" t="s">
        <v>46</v>
      </c>
      <c r="B38" s="15">
        <f>2665.14</f>
        <v>2665.14</v>
      </c>
      <c r="C38" s="14"/>
      <c r="D38" s="15">
        <f t="shared" si="1"/>
        <v>2665.14</v>
      </c>
      <c r="E38" s="16" t="str">
        <f t="shared" si="2"/>
        <v/>
      </c>
    </row>
    <row r="39">
      <c r="A39" s="13" t="s">
        <v>47</v>
      </c>
      <c r="B39" s="15">
        <f>898.71</f>
        <v>898.71</v>
      </c>
      <c r="C39" s="14"/>
      <c r="D39" s="15">
        <f t="shared" si="1"/>
        <v>898.71</v>
      </c>
      <c r="E39" s="16" t="str">
        <f t="shared" si="2"/>
        <v/>
      </c>
    </row>
    <row r="40">
      <c r="A40" s="13" t="s">
        <v>48</v>
      </c>
      <c r="B40" s="17">
        <f t="shared" ref="B40:C40" si="9">((((B35)+(B36))+(B37))+(B38))+(B39)</f>
        <v>58225.27</v>
      </c>
      <c r="C40" s="17">
        <f t="shared" si="9"/>
        <v>163573</v>
      </c>
      <c r="D40" s="17">
        <f t="shared" si="1"/>
        <v>-105347.73</v>
      </c>
      <c r="E40" s="18">
        <f t="shared" si="2"/>
        <v>0.3559589297</v>
      </c>
    </row>
    <row r="41">
      <c r="A41" s="13" t="s">
        <v>49</v>
      </c>
      <c r="B41" s="17">
        <f t="shared" ref="B41:C41" si="10">((B33)+(B34))+(B40)</f>
        <v>61983.15</v>
      </c>
      <c r="C41" s="17">
        <f t="shared" si="10"/>
        <v>163573</v>
      </c>
      <c r="D41" s="17">
        <f t="shared" si="1"/>
        <v>-101589.85</v>
      </c>
      <c r="E41" s="18">
        <f t="shared" si="2"/>
        <v>0.3789326478</v>
      </c>
    </row>
    <row r="42">
      <c r="A42" s="13" t="s">
        <v>2</v>
      </c>
      <c r="B42" s="17">
        <f t="shared" ref="B42:C42" si="11">(((B10)+(B13))+(B32))+(B41)</f>
        <v>182838.17</v>
      </c>
      <c r="C42" s="17">
        <f t="shared" si="11"/>
        <v>415776</v>
      </c>
      <c r="D42" s="17">
        <f t="shared" si="1"/>
        <v>-232937.83</v>
      </c>
      <c r="E42" s="18">
        <f t="shared" si="2"/>
        <v>0.4397516211</v>
      </c>
    </row>
    <row r="43">
      <c r="A43" s="13" t="s">
        <v>50</v>
      </c>
      <c r="B43" s="17">
        <f t="shared" ref="B43:C43" si="12">(B42)-(0)</f>
        <v>182838.17</v>
      </c>
      <c r="C43" s="17">
        <f t="shared" si="12"/>
        <v>415776</v>
      </c>
      <c r="D43" s="17">
        <f t="shared" si="1"/>
        <v>-232937.83</v>
      </c>
      <c r="E43" s="18">
        <f t="shared" si="2"/>
        <v>0.4397516211</v>
      </c>
    </row>
    <row r="44">
      <c r="A44" s="13" t="s">
        <v>51</v>
      </c>
      <c r="B44" s="14"/>
      <c r="C44" s="14"/>
      <c r="D44" s="14"/>
      <c r="E44" s="14"/>
    </row>
    <row r="45">
      <c r="A45" s="13" t="s">
        <v>52</v>
      </c>
      <c r="B45" s="14"/>
      <c r="C45" s="14"/>
      <c r="D45" s="15">
        <f t="shared" ref="D45:D105" si="13">(B45)-(C45)</f>
        <v>0</v>
      </c>
      <c r="E45" s="16" t="str">
        <f t="shared" ref="E45:E105" si="14">IF(C45=0,"",(B45)/(C45))</f>
        <v/>
      </c>
    </row>
    <row r="46">
      <c r="A46" s="13" t="s">
        <v>53</v>
      </c>
      <c r="B46" s="14"/>
      <c r="C46" s="14"/>
      <c r="D46" s="15">
        <f t="shared" si="13"/>
        <v>0</v>
      </c>
      <c r="E46" s="16" t="str">
        <f t="shared" si="14"/>
        <v/>
      </c>
    </row>
    <row r="47">
      <c r="A47" s="13" t="s">
        <v>54</v>
      </c>
      <c r="B47" s="15">
        <f t="shared" ref="B47:C47" si="15">3000</f>
        <v>3000</v>
      </c>
      <c r="C47" s="15">
        <f t="shared" si="15"/>
        <v>3000</v>
      </c>
      <c r="D47" s="15">
        <f t="shared" si="13"/>
        <v>0</v>
      </c>
      <c r="E47" s="16">
        <f t="shared" si="14"/>
        <v>1</v>
      </c>
    </row>
    <row r="48">
      <c r="A48" s="13" t="s">
        <v>55</v>
      </c>
      <c r="B48" s="15">
        <f>4195.75</f>
        <v>4195.75</v>
      </c>
      <c r="C48" s="15">
        <f>18000</f>
        <v>18000</v>
      </c>
      <c r="D48" s="15">
        <f t="shared" si="13"/>
        <v>-13804.25</v>
      </c>
      <c r="E48" s="16">
        <f t="shared" si="14"/>
        <v>0.2330972222</v>
      </c>
    </row>
    <row r="49">
      <c r="A49" s="13" t="s">
        <v>56</v>
      </c>
      <c r="B49" s="17">
        <f t="shared" ref="B49:C49" si="16">((B46)+(B47))+(B48)</f>
        <v>7195.75</v>
      </c>
      <c r="C49" s="17">
        <f t="shared" si="16"/>
        <v>21000</v>
      </c>
      <c r="D49" s="17">
        <f t="shared" si="13"/>
        <v>-13804.25</v>
      </c>
      <c r="E49" s="18">
        <f t="shared" si="14"/>
        <v>0.3426547619</v>
      </c>
    </row>
    <row r="50">
      <c r="A50" s="13" t="s">
        <v>57</v>
      </c>
      <c r="B50" s="15">
        <f>165</f>
        <v>165</v>
      </c>
      <c r="C50" s="14"/>
      <c r="D50" s="15">
        <f t="shared" si="13"/>
        <v>165</v>
      </c>
      <c r="E50" s="16" t="str">
        <f t="shared" si="14"/>
        <v/>
      </c>
    </row>
    <row r="51">
      <c r="A51" s="13" t="s">
        <v>59</v>
      </c>
      <c r="B51" s="14"/>
      <c r="C51" s="15">
        <f>600</f>
        <v>600</v>
      </c>
      <c r="D51" s="15">
        <f t="shared" si="13"/>
        <v>-600</v>
      </c>
      <c r="E51" s="16">
        <f t="shared" si="14"/>
        <v>0</v>
      </c>
    </row>
    <row r="52">
      <c r="A52" s="13" t="s">
        <v>60</v>
      </c>
      <c r="B52" s="15">
        <f>73.99</f>
        <v>73.99</v>
      </c>
      <c r="C52" s="15">
        <f>12000</f>
        <v>12000</v>
      </c>
      <c r="D52" s="15">
        <f t="shared" si="13"/>
        <v>-11926.01</v>
      </c>
      <c r="E52" s="16">
        <f t="shared" si="14"/>
        <v>0.006165833333</v>
      </c>
    </row>
    <row r="53">
      <c r="A53" s="13" t="s">
        <v>61</v>
      </c>
      <c r="B53" s="15">
        <f>3328.32</f>
        <v>3328.32</v>
      </c>
      <c r="C53" s="15">
        <f>3000</f>
        <v>3000</v>
      </c>
      <c r="D53" s="15">
        <f t="shared" si="13"/>
        <v>328.32</v>
      </c>
      <c r="E53" s="16">
        <f t="shared" si="14"/>
        <v>1.10944</v>
      </c>
    </row>
    <row r="54">
      <c r="A54" s="13" t="s">
        <v>62</v>
      </c>
      <c r="B54" s="15">
        <f>1499.36</f>
        <v>1499.36</v>
      </c>
      <c r="C54" s="15">
        <f>15600</f>
        <v>15600</v>
      </c>
      <c r="D54" s="15">
        <f t="shared" si="13"/>
        <v>-14100.64</v>
      </c>
      <c r="E54" s="16">
        <f t="shared" si="14"/>
        <v>0.09611282051</v>
      </c>
    </row>
    <row r="55">
      <c r="A55" s="13" t="s">
        <v>63</v>
      </c>
      <c r="B55" s="15">
        <f>1484.7</f>
        <v>1484.7</v>
      </c>
      <c r="C55" s="15">
        <f>1200</f>
        <v>1200</v>
      </c>
      <c r="D55" s="15">
        <f t="shared" si="13"/>
        <v>284.7</v>
      </c>
      <c r="E55" s="16">
        <f t="shared" si="14"/>
        <v>1.23725</v>
      </c>
    </row>
    <row r="56">
      <c r="A56" s="13" t="s">
        <v>64</v>
      </c>
      <c r="B56" s="14"/>
      <c r="C56" s="15">
        <f>100</f>
        <v>100</v>
      </c>
      <c r="D56" s="15">
        <f t="shared" si="13"/>
        <v>-100</v>
      </c>
      <c r="E56" s="16">
        <f t="shared" si="14"/>
        <v>0</v>
      </c>
    </row>
    <row r="57">
      <c r="A57" s="13" t="s">
        <v>65</v>
      </c>
      <c r="B57" s="15">
        <f>18.17</f>
        <v>18.17</v>
      </c>
      <c r="C57" s="15">
        <f>300</f>
        <v>300</v>
      </c>
      <c r="D57" s="15">
        <f t="shared" si="13"/>
        <v>-281.83</v>
      </c>
      <c r="E57" s="16">
        <f t="shared" si="14"/>
        <v>0.06056666667</v>
      </c>
    </row>
    <row r="58">
      <c r="A58" s="13" t="s">
        <v>66</v>
      </c>
      <c r="B58" s="15">
        <f>851.25</f>
        <v>851.25</v>
      </c>
      <c r="C58" s="14"/>
      <c r="D58" s="15">
        <f t="shared" si="13"/>
        <v>851.25</v>
      </c>
      <c r="E58" s="16" t="str">
        <f t="shared" si="14"/>
        <v/>
      </c>
    </row>
    <row r="59">
      <c r="A59" s="13" t="s">
        <v>67</v>
      </c>
      <c r="B59" s="15">
        <f>395.24</f>
        <v>395.24</v>
      </c>
      <c r="C59" s="15">
        <f>1251</f>
        <v>1251</v>
      </c>
      <c r="D59" s="15">
        <f t="shared" si="13"/>
        <v>-855.76</v>
      </c>
      <c r="E59" s="16">
        <f t="shared" si="14"/>
        <v>0.3159392486</v>
      </c>
    </row>
    <row r="60">
      <c r="A60" s="13" t="s">
        <v>68</v>
      </c>
      <c r="B60" s="15">
        <f>68</f>
        <v>68</v>
      </c>
      <c r="C60" s="15">
        <f>240</f>
        <v>240</v>
      </c>
      <c r="D60" s="15">
        <f t="shared" si="13"/>
        <v>-172</v>
      </c>
      <c r="E60" s="16">
        <f t="shared" si="14"/>
        <v>0.2833333333</v>
      </c>
    </row>
    <row r="61">
      <c r="A61" s="13" t="s">
        <v>69</v>
      </c>
      <c r="B61" s="14"/>
      <c r="C61" s="14"/>
      <c r="D61" s="15">
        <f t="shared" si="13"/>
        <v>0</v>
      </c>
      <c r="E61" s="16" t="str">
        <f t="shared" si="14"/>
        <v/>
      </c>
    </row>
    <row r="62">
      <c r="A62" s="13" t="s">
        <v>70</v>
      </c>
      <c r="B62" s="15">
        <f>680.75</f>
        <v>680.75</v>
      </c>
      <c r="C62" s="15">
        <f>1000</f>
        <v>1000</v>
      </c>
      <c r="D62" s="15">
        <f t="shared" si="13"/>
        <v>-319.25</v>
      </c>
      <c r="E62" s="16">
        <f t="shared" si="14"/>
        <v>0.68075</v>
      </c>
    </row>
    <row r="63">
      <c r="A63" s="13" t="s">
        <v>72</v>
      </c>
      <c r="B63" s="17">
        <f t="shared" ref="B63:C63" si="17">(B61)+(B62)</f>
        <v>680.75</v>
      </c>
      <c r="C63" s="17">
        <f t="shared" si="17"/>
        <v>1000</v>
      </c>
      <c r="D63" s="17">
        <f t="shared" si="13"/>
        <v>-319.25</v>
      </c>
      <c r="E63" s="18">
        <f t="shared" si="14"/>
        <v>0.68075</v>
      </c>
    </row>
    <row r="64">
      <c r="A64" s="13" t="s">
        <v>73</v>
      </c>
      <c r="B64" s="15">
        <f>340</f>
        <v>340</v>
      </c>
      <c r="C64" s="15">
        <f>900</f>
        <v>900</v>
      </c>
      <c r="D64" s="15">
        <f t="shared" si="13"/>
        <v>-560</v>
      </c>
      <c r="E64" s="16">
        <f t="shared" si="14"/>
        <v>0.3777777778</v>
      </c>
    </row>
    <row r="65">
      <c r="A65" s="13" t="s">
        <v>74</v>
      </c>
      <c r="B65" s="17">
        <f t="shared" ref="B65:C65" si="18">((((((((((((((B45)+(B49))+(B50))+(B51))+(B52))+(B53))+(B54))+(B55))+(B56))+(B57))+(B58))+(B59))+(B60))+(B63))+(B64)</f>
        <v>16100.53</v>
      </c>
      <c r="C65" s="17">
        <f t="shared" si="18"/>
        <v>57191</v>
      </c>
      <c r="D65" s="17">
        <f t="shared" si="13"/>
        <v>-41090.47</v>
      </c>
      <c r="E65" s="18">
        <f t="shared" si="14"/>
        <v>0.2815220926</v>
      </c>
    </row>
    <row r="66">
      <c r="A66" s="13" t="s">
        <v>75</v>
      </c>
      <c r="B66" s="15">
        <f>188.73</f>
        <v>188.73</v>
      </c>
      <c r="C66" s="14"/>
      <c r="D66" s="15">
        <f t="shared" si="13"/>
        <v>188.73</v>
      </c>
      <c r="E66" s="16" t="str">
        <f t="shared" si="14"/>
        <v/>
      </c>
    </row>
    <row r="67">
      <c r="A67" s="13" t="s">
        <v>76</v>
      </c>
      <c r="B67" s="14"/>
      <c r="C67" s="14"/>
      <c r="D67" s="15">
        <f t="shared" si="13"/>
        <v>0</v>
      </c>
      <c r="E67" s="16" t="str">
        <f t="shared" si="14"/>
        <v/>
      </c>
    </row>
    <row r="68">
      <c r="A68" s="13" t="s">
        <v>77</v>
      </c>
      <c r="B68" s="14"/>
      <c r="C68" s="14"/>
      <c r="D68" s="15">
        <f t="shared" si="13"/>
        <v>0</v>
      </c>
      <c r="E68" s="16" t="str">
        <f t="shared" si="14"/>
        <v/>
      </c>
    </row>
    <row r="69">
      <c r="A69" s="13" t="s">
        <v>78</v>
      </c>
      <c r="B69" s="14"/>
      <c r="C69" s="14"/>
      <c r="D69" s="15">
        <f t="shared" si="13"/>
        <v>0</v>
      </c>
      <c r="E69" s="16" t="str">
        <f t="shared" si="14"/>
        <v/>
      </c>
    </row>
    <row r="70">
      <c r="A70" s="13" t="s">
        <v>79</v>
      </c>
      <c r="B70" s="14"/>
      <c r="C70" s="15">
        <f>0</f>
        <v>0</v>
      </c>
      <c r="D70" s="15">
        <f t="shared" si="13"/>
        <v>0</v>
      </c>
      <c r="E70" s="16" t="str">
        <f t="shared" si="14"/>
        <v/>
      </c>
    </row>
    <row r="71">
      <c r="A71" s="13" t="s">
        <v>80</v>
      </c>
      <c r="B71" s="14"/>
      <c r="C71" s="15">
        <f>24000</f>
        <v>24000</v>
      </c>
      <c r="D71" s="15">
        <f t="shared" si="13"/>
        <v>-24000</v>
      </c>
      <c r="E71" s="16">
        <f t="shared" si="14"/>
        <v>0</v>
      </c>
    </row>
    <row r="72">
      <c r="A72" s="13" t="s">
        <v>81</v>
      </c>
      <c r="B72" s="14"/>
      <c r="C72" s="15">
        <f>12000</f>
        <v>12000</v>
      </c>
      <c r="D72" s="15">
        <f t="shared" si="13"/>
        <v>-12000</v>
      </c>
      <c r="E72" s="16">
        <f t="shared" si="14"/>
        <v>0</v>
      </c>
    </row>
    <row r="73">
      <c r="A73" s="13" t="s">
        <v>82</v>
      </c>
      <c r="B73" s="14"/>
      <c r="C73" s="15">
        <f>4319</f>
        <v>4319</v>
      </c>
      <c r="D73" s="15">
        <f t="shared" si="13"/>
        <v>-4319</v>
      </c>
      <c r="E73" s="16">
        <f t="shared" si="14"/>
        <v>0</v>
      </c>
    </row>
    <row r="74">
      <c r="A74" s="13" t="s">
        <v>83</v>
      </c>
      <c r="B74" s="14"/>
      <c r="C74" s="15">
        <f>4318</f>
        <v>4318</v>
      </c>
      <c r="D74" s="15">
        <f t="shared" si="13"/>
        <v>-4318</v>
      </c>
      <c r="E74" s="16">
        <f t="shared" si="14"/>
        <v>0</v>
      </c>
    </row>
    <row r="75">
      <c r="A75" s="13" t="s">
        <v>84</v>
      </c>
      <c r="B75" s="14"/>
      <c r="C75" s="15">
        <f>31558</f>
        <v>31558</v>
      </c>
      <c r="D75" s="15">
        <f t="shared" si="13"/>
        <v>-31558</v>
      </c>
      <c r="E75" s="16">
        <f t="shared" si="14"/>
        <v>0</v>
      </c>
    </row>
    <row r="76">
      <c r="A76" s="13" t="s">
        <v>86</v>
      </c>
      <c r="B76" s="14"/>
      <c r="C76" s="15">
        <f>4334</f>
        <v>4334</v>
      </c>
      <c r="D76" s="15">
        <f t="shared" si="13"/>
        <v>-4334</v>
      </c>
      <c r="E76" s="16">
        <f t="shared" si="14"/>
        <v>0</v>
      </c>
    </row>
    <row r="77">
      <c r="A77" s="13" t="s">
        <v>87</v>
      </c>
      <c r="B77" s="14"/>
      <c r="C77" s="15">
        <f>4313</f>
        <v>4313</v>
      </c>
      <c r="D77" s="15">
        <f t="shared" si="13"/>
        <v>-4313</v>
      </c>
      <c r="E77" s="16">
        <f t="shared" si="14"/>
        <v>0</v>
      </c>
    </row>
    <row r="78">
      <c r="A78" s="13" t="s">
        <v>88</v>
      </c>
      <c r="B78" s="14"/>
      <c r="C78" s="15">
        <f>4317</f>
        <v>4317</v>
      </c>
      <c r="D78" s="15">
        <f t="shared" si="13"/>
        <v>-4317</v>
      </c>
      <c r="E78" s="16">
        <f t="shared" si="14"/>
        <v>0</v>
      </c>
    </row>
    <row r="79">
      <c r="A79" s="13" t="s">
        <v>89</v>
      </c>
      <c r="B79" s="14"/>
      <c r="C79" s="15">
        <f t="shared" ref="C79:C80" si="19">16282</f>
        <v>16282</v>
      </c>
      <c r="D79" s="15">
        <f t="shared" si="13"/>
        <v>-16282</v>
      </c>
      <c r="E79" s="16">
        <f t="shared" si="14"/>
        <v>0</v>
      </c>
    </row>
    <row r="80">
      <c r="A80" s="13" t="s">
        <v>90</v>
      </c>
      <c r="B80" s="14"/>
      <c r="C80" s="15">
        <f t="shared" si="19"/>
        <v>16282</v>
      </c>
      <c r="D80" s="15">
        <f t="shared" si="13"/>
        <v>-16282</v>
      </c>
      <c r="E80" s="16">
        <f t="shared" si="14"/>
        <v>0</v>
      </c>
    </row>
    <row r="81">
      <c r="A81" s="13" t="s">
        <v>91</v>
      </c>
      <c r="B81" s="14"/>
      <c r="C81" s="15">
        <f>8150</f>
        <v>8150</v>
      </c>
      <c r="D81" s="15">
        <f t="shared" si="13"/>
        <v>-8150</v>
      </c>
      <c r="E81" s="16">
        <f t="shared" si="14"/>
        <v>0</v>
      </c>
    </row>
    <row r="82">
      <c r="A82" s="13" t="s">
        <v>92</v>
      </c>
      <c r="B82" s="14"/>
      <c r="C82" s="15">
        <f>8154</f>
        <v>8154</v>
      </c>
      <c r="D82" s="15">
        <f t="shared" si="13"/>
        <v>-8154</v>
      </c>
      <c r="E82" s="16">
        <f t="shared" si="14"/>
        <v>0</v>
      </c>
    </row>
    <row r="83">
      <c r="A83" s="13" t="s">
        <v>93</v>
      </c>
      <c r="B83" s="14"/>
      <c r="C83" s="15">
        <f>4318</f>
        <v>4318</v>
      </c>
      <c r="D83" s="15">
        <f t="shared" si="13"/>
        <v>-4318</v>
      </c>
      <c r="E83" s="16">
        <f t="shared" si="14"/>
        <v>0</v>
      </c>
    </row>
    <row r="84">
      <c r="A84" s="13" t="s">
        <v>94</v>
      </c>
      <c r="B84" s="17">
        <f t="shared" ref="B84:C84" si="20">((((((((((((((B69)+(B70))+(B71))+(B72))+(B73))+(B74))+(B75))+(B76))+(B77))+(B78))+(B79))+(B80))+(B81))+(B82))+(B83)</f>
        <v>0</v>
      </c>
      <c r="C84" s="17">
        <f t="shared" si="20"/>
        <v>142345</v>
      </c>
      <c r="D84" s="17">
        <f t="shared" si="13"/>
        <v>-142345</v>
      </c>
      <c r="E84" s="18">
        <f t="shared" si="14"/>
        <v>0</v>
      </c>
    </row>
    <row r="85">
      <c r="A85" s="13" t="s">
        <v>95</v>
      </c>
      <c r="B85" s="17">
        <f t="shared" ref="B85:C85" si="21">(B68)+(B84)</f>
        <v>0</v>
      </c>
      <c r="C85" s="17">
        <f t="shared" si="21"/>
        <v>142345</v>
      </c>
      <c r="D85" s="17">
        <f t="shared" si="13"/>
        <v>-142345</v>
      </c>
      <c r="E85" s="18">
        <f t="shared" si="14"/>
        <v>0</v>
      </c>
    </row>
    <row r="86">
      <c r="A86" s="13" t="s">
        <v>96</v>
      </c>
      <c r="B86" s="14"/>
      <c r="C86" s="15">
        <f>5895</f>
        <v>5895</v>
      </c>
      <c r="D86" s="15">
        <f t="shared" si="13"/>
        <v>-5895</v>
      </c>
      <c r="E86" s="16">
        <f t="shared" si="14"/>
        <v>0</v>
      </c>
    </row>
    <row r="87">
      <c r="A87" s="13" t="s">
        <v>97</v>
      </c>
      <c r="B87" s="15">
        <f>12291.89</f>
        <v>12291.89</v>
      </c>
      <c r="C87" s="14"/>
      <c r="D87" s="15">
        <f t="shared" si="13"/>
        <v>12291.89</v>
      </c>
      <c r="E87" s="16" t="str">
        <f t="shared" si="14"/>
        <v/>
      </c>
    </row>
    <row r="88">
      <c r="A88" s="13" t="s">
        <v>98</v>
      </c>
      <c r="B88" s="14"/>
      <c r="C88" s="14"/>
      <c r="D88" s="15">
        <f t="shared" si="13"/>
        <v>0</v>
      </c>
      <c r="E88" s="16" t="str">
        <f t="shared" si="14"/>
        <v/>
      </c>
    </row>
    <row r="89">
      <c r="A89" s="13" t="s">
        <v>99</v>
      </c>
      <c r="B89" s="15">
        <f>26454.79</f>
        <v>26454.79</v>
      </c>
      <c r="C89" s="15">
        <f>100000</f>
        <v>100000</v>
      </c>
      <c r="D89" s="15">
        <f t="shared" si="13"/>
        <v>-73545.21</v>
      </c>
      <c r="E89" s="16">
        <f t="shared" si="14"/>
        <v>0.2645479</v>
      </c>
    </row>
    <row r="90">
      <c r="A90" s="13" t="s">
        <v>100</v>
      </c>
      <c r="B90" s="14"/>
      <c r="C90" s="15">
        <f>36703</f>
        <v>36703</v>
      </c>
      <c r="D90" s="15">
        <f t="shared" si="13"/>
        <v>-36703</v>
      </c>
      <c r="E90" s="16">
        <f t="shared" si="14"/>
        <v>0</v>
      </c>
    </row>
    <row r="91">
      <c r="A91" s="13" t="s">
        <v>101</v>
      </c>
      <c r="B91" s="14"/>
      <c r="C91" s="14"/>
      <c r="D91" s="15">
        <f t="shared" si="13"/>
        <v>0</v>
      </c>
      <c r="E91" s="16" t="str">
        <f t="shared" si="14"/>
        <v/>
      </c>
    </row>
    <row r="92">
      <c r="A92" s="13" t="s">
        <v>241</v>
      </c>
      <c r="B92" s="15">
        <f>497.45</f>
        <v>497.45</v>
      </c>
      <c r="C92" s="14"/>
      <c r="D92" s="15">
        <f t="shared" si="13"/>
        <v>497.45</v>
      </c>
      <c r="E92" s="16" t="str">
        <f t="shared" si="14"/>
        <v/>
      </c>
    </row>
    <row r="93">
      <c r="A93" s="13" t="s">
        <v>104</v>
      </c>
      <c r="B93" s="15">
        <f>74.52</f>
        <v>74.52</v>
      </c>
      <c r="C93" s="14"/>
      <c r="D93" s="15">
        <f t="shared" si="13"/>
        <v>74.52</v>
      </c>
      <c r="E93" s="16" t="str">
        <f t="shared" si="14"/>
        <v/>
      </c>
    </row>
    <row r="94">
      <c r="A94" s="13" t="s">
        <v>105</v>
      </c>
      <c r="B94" s="17">
        <f t="shared" ref="B94:C94" si="22">((B91)+(B92))+(B93)</f>
        <v>571.97</v>
      </c>
      <c r="C94" s="17">
        <f t="shared" si="22"/>
        <v>0</v>
      </c>
      <c r="D94" s="17">
        <f t="shared" si="13"/>
        <v>571.97</v>
      </c>
      <c r="E94" s="18" t="str">
        <f t="shared" si="14"/>
        <v/>
      </c>
    </row>
    <row r="95">
      <c r="A95" s="13" t="s">
        <v>106</v>
      </c>
      <c r="B95" s="15">
        <f>55</f>
        <v>55</v>
      </c>
      <c r="C95" s="14"/>
      <c r="D95" s="15">
        <f t="shared" si="13"/>
        <v>55</v>
      </c>
      <c r="E95" s="16" t="str">
        <f t="shared" si="14"/>
        <v/>
      </c>
    </row>
    <row r="96">
      <c r="A96" s="13" t="s">
        <v>107</v>
      </c>
      <c r="B96" s="15">
        <f>4378.09</f>
        <v>4378.09</v>
      </c>
      <c r="C96" s="14"/>
      <c r="D96" s="15">
        <f t="shared" si="13"/>
        <v>4378.09</v>
      </c>
      <c r="E96" s="16" t="str">
        <f t="shared" si="14"/>
        <v/>
      </c>
    </row>
    <row r="97">
      <c r="A97" s="13" t="s">
        <v>108</v>
      </c>
      <c r="B97" s="15">
        <f>506.25</f>
        <v>506.25</v>
      </c>
      <c r="C97" s="14"/>
      <c r="D97" s="15">
        <f t="shared" si="13"/>
        <v>506.25</v>
      </c>
      <c r="E97" s="16" t="str">
        <f t="shared" si="14"/>
        <v/>
      </c>
    </row>
    <row r="98">
      <c r="A98" s="13" t="s">
        <v>109</v>
      </c>
      <c r="B98" s="15">
        <f>840.7</f>
        <v>840.7</v>
      </c>
      <c r="C98" s="14"/>
      <c r="D98" s="15">
        <f t="shared" si="13"/>
        <v>840.7</v>
      </c>
      <c r="E98" s="16" t="str">
        <f t="shared" si="14"/>
        <v/>
      </c>
    </row>
    <row r="99">
      <c r="A99" s="13" t="s">
        <v>110</v>
      </c>
      <c r="B99" s="17">
        <f t="shared" ref="B99:C99" si="23">(((((((B88)+(B89))+(B90))+(B94))+(B95))+(B96))+(B97))+(B98)</f>
        <v>32806.8</v>
      </c>
      <c r="C99" s="17">
        <f t="shared" si="23"/>
        <v>136703</v>
      </c>
      <c r="D99" s="17">
        <f t="shared" si="13"/>
        <v>-103896.2</v>
      </c>
      <c r="E99" s="18">
        <f t="shared" si="14"/>
        <v>0.239985955</v>
      </c>
    </row>
    <row r="100">
      <c r="A100" s="13" t="s">
        <v>111</v>
      </c>
      <c r="B100" s="15">
        <f>27.93</f>
        <v>27.93</v>
      </c>
      <c r="C100" s="14"/>
      <c r="D100" s="15">
        <f t="shared" si="13"/>
        <v>27.93</v>
      </c>
      <c r="E100" s="16" t="str">
        <f t="shared" si="14"/>
        <v/>
      </c>
    </row>
    <row r="101">
      <c r="A101" s="13" t="s">
        <v>112</v>
      </c>
      <c r="B101" s="17">
        <f t="shared" ref="B101:C101" si="24">((B87)+(B99))+(B100)</f>
        <v>45126.62</v>
      </c>
      <c r="C101" s="17">
        <f t="shared" si="24"/>
        <v>136703</v>
      </c>
      <c r="D101" s="17">
        <f t="shared" si="13"/>
        <v>-91576.38</v>
      </c>
      <c r="E101" s="18">
        <f t="shared" si="14"/>
        <v>0.3301070203</v>
      </c>
    </row>
    <row r="102">
      <c r="A102" s="13" t="s">
        <v>113</v>
      </c>
      <c r="B102" s="17">
        <f t="shared" ref="B102:C102" si="25">(((B67)+(B85))+(B86))+(B101)</f>
        <v>45126.62</v>
      </c>
      <c r="C102" s="17">
        <f t="shared" si="25"/>
        <v>284943</v>
      </c>
      <c r="D102" s="17">
        <f t="shared" si="13"/>
        <v>-239816.38</v>
      </c>
      <c r="E102" s="18">
        <f t="shared" si="14"/>
        <v>0.1583706917</v>
      </c>
    </row>
    <row r="103">
      <c r="A103" s="13" t="s">
        <v>114</v>
      </c>
      <c r="B103" s="17">
        <f t="shared" ref="B103:C103" si="26">((B65)+(B66))+(B102)</f>
        <v>61415.88</v>
      </c>
      <c r="C103" s="17">
        <f t="shared" si="26"/>
        <v>342134</v>
      </c>
      <c r="D103" s="17">
        <f t="shared" si="13"/>
        <v>-280718.12</v>
      </c>
      <c r="E103" s="18">
        <f t="shared" si="14"/>
        <v>0.1795082628</v>
      </c>
    </row>
    <row r="104">
      <c r="A104" s="13" t="s">
        <v>115</v>
      </c>
      <c r="B104" s="17">
        <f t="shared" ref="B104:C104" si="27">(B43)-(B103)</f>
        <v>121422.29</v>
      </c>
      <c r="C104" s="17">
        <f t="shared" si="27"/>
        <v>73642</v>
      </c>
      <c r="D104" s="17">
        <f t="shared" si="13"/>
        <v>47780.29</v>
      </c>
      <c r="E104" s="18">
        <f t="shared" si="14"/>
        <v>1.648818473</v>
      </c>
    </row>
    <row r="105">
      <c r="A105" s="13" t="s">
        <v>4</v>
      </c>
      <c r="B105" s="17">
        <f t="shared" ref="B105:C105" si="28">(B104)+(0)</f>
        <v>121422.29</v>
      </c>
      <c r="C105" s="17">
        <f t="shared" si="28"/>
        <v>73642</v>
      </c>
      <c r="D105" s="17">
        <f t="shared" si="13"/>
        <v>47780.29</v>
      </c>
      <c r="E105" s="18">
        <f t="shared" si="14"/>
        <v>1.648818473</v>
      </c>
    </row>
    <row r="106">
      <c r="A106" s="13"/>
      <c r="B106" s="14"/>
      <c r="C106" s="14"/>
      <c r="D106" s="14"/>
      <c r="E106" s="14"/>
    </row>
    <row r="107"/>
    <row r="108"/>
    <row r="109">
      <c r="A109" s="19" t="s">
        <v>262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263</v>
      </c>
    </row>
    <row r="3">
      <c r="A3" s="9" t="s">
        <v>261</v>
      </c>
    </row>
    <row r="5">
      <c r="A5" s="10"/>
      <c r="B5" s="11" t="s">
        <v>264</v>
      </c>
      <c r="C5" s="11" t="s">
        <v>265</v>
      </c>
      <c r="D5" s="11" t="s">
        <v>266</v>
      </c>
      <c r="E5" s="11" t="s">
        <v>267</v>
      </c>
      <c r="F5" s="11" t="s">
        <v>9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268</v>
      </c>
      <c r="B7" s="15">
        <f>-18519.48</f>
        <v>-18519.48</v>
      </c>
      <c r="C7" s="14"/>
      <c r="D7" s="14"/>
      <c r="E7" s="14"/>
      <c r="F7" s="15">
        <f t="shared" ref="F7:F39" si="1">(((B7)+(C7))+(D7))+(E7)</f>
        <v>-18519.48</v>
      </c>
    </row>
    <row r="8">
      <c r="A8" s="13" t="s">
        <v>16</v>
      </c>
      <c r="B8" s="14"/>
      <c r="C8" s="14"/>
      <c r="D8" s="14"/>
      <c r="E8" s="14"/>
      <c r="F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5">
        <f t="shared" si="1"/>
        <v>896.54</v>
      </c>
    </row>
    <row r="10">
      <c r="A10" s="13" t="s">
        <v>18</v>
      </c>
      <c r="B10" s="17">
        <f t="shared" ref="B10:E10" si="2">(B8)+(B9)</f>
        <v>896.54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5">
        <f t="shared" si="1"/>
        <v>0</v>
      </c>
    </row>
    <row r="12">
      <c r="A12" s="13" t="s">
        <v>20</v>
      </c>
      <c r="B12" s="14"/>
      <c r="C12" s="14"/>
      <c r="D12" s="15">
        <f>0</f>
        <v>0</v>
      </c>
      <c r="E12" s="14"/>
      <c r="F12" s="15">
        <f t="shared" si="1"/>
        <v>0</v>
      </c>
    </row>
    <row r="13">
      <c r="A13" s="13" t="s">
        <v>21</v>
      </c>
      <c r="B13" s="17">
        <f t="shared" ref="B13:E13" si="3">(B11)+(B12)</f>
        <v>0</v>
      </c>
      <c r="C13" s="17">
        <f t="shared" si="3"/>
        <v>0</v>
      </c>
      <c r="D13" s="17">
        <f t="shared" si="3"/>
        <v>0</v>
      </c>
      <c r="E13" s="17">
        <f t="shared" si="3"/>
        <v>0</v>
      </c>
      <c r="F13" s="17">
        <f t="shared" si="1"/>
        <v>0</v>
      </c>
    </row>
    <row r="14">
      <c r="A14" s="13" t="s">
        <v>22</v>
      </c>
      <c r="B14" s="14"/>
      <c r="C14" s="14"/>
      <c r="D14" s="14"/>
      <c r="E14" s="14"/>
      <c r="F14" s="15">
        <f t="shared" si="1"/>
        <v>0</v>
      </c>
    </row>
    <row r="15">
      <c r="A15" s="13" t="s">
        <v>25</v>
      </c>
      <c r="B15" s="14"/>
      <c r="C15" s="15">
        <f t="shared" ref="C15:C16" si="4">2577.08</f>
        <v>2577.08</v>
      </c>
      <c r="D15" s="14"/>
      <c r="E15" s="14"/>
      <c r="F15" s="15">
        <f t="shared" si="1"/>
        <v>2577.08</v>
      </c>
    </row>
    <row r="16">
      <c r="A16" s="13" t="s">
        <v>26</v>
      </c>
      <c r="B16" s="14"/>
      <c r="C16" s="15">
        <f t="shared" si="4"/>
        <v>2577.08</v>
      </c>
      <c r="D16" s="14"/>
      <c r="E16" s="14"/>
      <c r="F16" s="15">
        <f t="shared" si="1"/>
        <v>2577.08</v>
      </c>
    </row>
    <row r="17">
      <c r="A17" s="13" t="s">
        <v>27</v>
      </c>
      <c r="B17" s="14"/>
      <c r="C17" s="15">
        <f>33266.72</f>
        <v>33266.72</v>
      </c>
      <c r="D17" s="14"/>
      <c r="E17" s="14"/>
      <c r="F17" s="15">
        <f t="shared" si="1"/>
        <v>33266.72</v>
      </c>
    </row>
    <row r="18">
      <c r="A18" s="13" t="s">
        <v>28</v>
      </c>
      <c r="B18" s="14"/>
      <c r="C18" s="15">
        <f>2586.08</f>
        <v>2586.08</v>
      </c>
      <c r="D18" s="14"/>
      <c r="E18" s="14"/>
      <c r="F18" s="15">
        <f t="shared" si="1"/>
        <v>2586.08</v>
      </c>
    </row>
    <row r="19">
      <c r="A19" s="13" t="s">
        <v>29</v>
      </c>
      <c r="B19" s="14"/>
      <c r="C19" s="15">
        <f>2573.85</f>
        <v>2573.85</v>
      </c>
      <c r="D19" s="14"/>
      <c r="E19" s="14"/>
      <c r="F19" s="15">
        <f t="shared" si="1"/>
        <v>2573.85</v>
      </c>
    </row>
    <row r="20">
      <c r="A20" s="13" t="s">
        <v>31</v>
      </c>
      <c r="B20" s="14"/>
      <c r="C20" s="15">
        <f>2576.08</f>
        <v>2576.08</v>
      </c>
      <c r="D20" s="14"/>
      <c r="E20" s="14"/>
      <c r="F20" s="15">
        <f t="shared" si="1"/>
        <v>2576.08</v>
      </c>
    </row>
    <row r="21">
      <c r="A21" s="13" t="s">
        <v>32</v>
      </c>
      <c r="B21" s="14"/>
      <c r="C21" s="15">
        <f>15000</f>
        <v>15000</v>
      </c>
      <c r="D21" s="14"/>
      <c r="E21" s="14"/>
      <c r="F21" s="15">
        <f t="shared" si="1"/>
        <v>15000</v>
      </c>
    </row>
    <row r="22">
      <c r="A22" s="13" t="s">
        <v>33</v>
      </c>
      <c r="B22" s="14"/>
      <c r="C22" s="15">
        <f>8157.31</f>
        <v>8157.31</v>
      </c>
      <c r="D22" s="14"/>
      <c r="E22" s="14"/>
      <c r="F22" s="15">
        <f t="shared" si="1"/>
        <v>8157.31</v>
      </c>
    </row>
    <row r="23">
      <c r="A23" s="13" t="s">
        <v>34</v>
      </c>
      <c r="B23" s="14"/>
      <c r="C23" s="15">
        <f t="shared" ref="C23:C24" si="5">9738.23</f>
        <v>9738.23</v>
      </c>
      <c r="D23" s="14"/>
      <c r="E23" s="14"/>
      <c r="F23" s="15">
        <f t="shared" si="1"/>
        <v>9738.23</v>
      </c>
    </row>
    <row r="24">
      <c r="A24" s="13" t="s">
        <v>35</v>
      </c>
      <c r="B24" s="14"/>
      <c r="C24" s="15">
        <f t="shared" si="5"/>
        <v>9738.23</v>
      </c>
      <c r="D24" s="14"/>
      <c r="E24" s="14"/>
      <c r="F24" s="15">
        <f t="shared" si="1"/>
        <v>9738.23</v>
      </c>
    </row>
    <row r="25">
      <c r="A25" s="13" t="s">
        <v>36</v>
      </c>
      <c r="B25" s="14"/>
      <c r="C25" s="15">
        <f>18839.93</f>
        <v>18839.93</v>
      </c>
      <c r="D25" s="14"/>
      <c r="E25" s="14"/>
      <c r="F25" s="15">
        <f t="shared" si="1"/>
        <v>18839.93</v>
      </c>
    </row>
    <row r="26">
      <c r="A26" s="13" t="s">
        <v>37</v>
      </c>
      <c r="B26" s="14"/>
      <c r="C26" s="15">
        <f>4876.41</f>
        <v>4876.41</v>
      </c>
      <c r="D26" s="14"/>
      <c r="E26" s="14"/>
      <c r="F26" s="15">
        <f t="shared" si="1"/>
        <v>4876.41</v>
      </c>
    </row>
    <row r="27">
      <c r="A27" s="13" t="s">
        <v>38</v>
      </c>
      <c r="B27" s="14"/>
      <c r="C27" s="15">
        <f>4874.4</f>
        <v>4874.4</v>
      </c>
      <c r="D27" s="14"/>
      <c r="E27" s="14"/>
      <c r="F27" s="15">
        <f t="shared" si="1"/>
        <v>4874.4</v>
      </c>
    </row>
    <row r="28">
      <c r="A28" s="13" t="s">
        <v>39</v>
      </c>
      <c r="B28" s="14"/>
      <c r="C28" s="15">
        <f>2577.08</f>
        <v>2577.08</v>
      </c>
      <c r="D28" s="14"/>
      <c r="E28" s="14"/>
      <c r="F28" s="15">
        <f t="shared" si="1"/>
        <v>2577.08</v>
      </c>
    </row>
    <row r="29">
      <c r="A29" s="13" t="s">
        <v>40</v>
      </c>
      <c r="B29" s="17">
        <f t="shared" ref="B29:E29" si="6">((((((((((((((B14)+(B15))+(B16))+(B17))+(B18))+(B19))+(B20))+(B21))+(B22))+(B23))+(B24))+(B25))+(B26))+(B27))+(B28)</f>
        <v>0</v>
      </c>
      <c r="C29" s="17">
        <f t="shared" si="6"/>
        <v>119958.48</v>
      </c>
      <c r="D29" s="17">
        <f t="shared" si="6"/>
        <v>0</v>
      </c>
      <c r="E29" s="17">
        <f t="shared" si="6"/>
        <v>0</v>
      </c>
      <c r="F29" s="17">
        <f t="shared" si="1"/>
        <v>119958.48</v>
      </c>
    </row>
    <row r="30">
      <c r="A30" s="13" t="s">
        <v>41</v>
      </c>
      <c r="B30" s="14"/>
      <c r="C30" s="14"/>
      <c r="D30" s="14"/>
      <c r="E30" s="14"/>
      <c r="F30" s="15">
        <f t="shared" si="1"/>
        <v>0</v>
      </c>
    </row>
    <row r="31">
      <c r="A31" s="13" t="s">
        <v>42</v>
      </c>
      <c r="B31" s="14"/>
      <c r="C31" s="14"/>
      <c r="D31" s="15">
        <f>3757.88</f>
        <v>3757.88</v>
      </c>
      <c r="E31" s="14"/>
      <c r="F31" s="15">
        <f t="shared" si="1"/>
        <v>3757.88</v>
      </c>
    </row>
    <row r="32">
      <c r="A32" s="13" t="s">
        <v>43</v>
      </c>
      <c r="B32" s="14"/>
      <c r="C32" s="14"/>
      <c r="D32" s="15">
        <f>28763.06</f>
        <v>28763.06</v>
      </c>
      <c r="E32" s="14"/>
      <c r="F32" s="15">
        <f t="shared" si="1"/>
        <v>28763.06</v>
      </c>
    </row>
    <row r="33">
      <c r="A33" s="13" t="s">
        <v>44</v>
      </c>
      <c r="B33" s="14"/>
      <c r="C33" s="14"/>
      <c r="D33" s="14"/>
      <c r="E33" s="15">
        <f>25898.36</f>
        <v>25898.36</v>
      </c>
      <c r="F33" s="15">
        <f t="shared" si="1"/>
        <v>25898.36</v>
      </c>
    </row>
    <row r="34">
      <c r="A34" s="13" t="s">
        <v>46</v>
      </c>
      <c r="B34" s="14"/>
      <c r="C34" s="14"/>
      <c r="D34" s="15">
        <f>2665.14</f>
        <v>2665.14</v>
      </c>
      <c r="E34" s="14"/>
      <c r="F34" s="15">
        <f t="shared" si="1"/>
        <v>2665.14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5">
        <f t="shared" si="1"/>
        <v>898.71</v>
      </c>
    </row>
    <row r="36">
      <c r="A36" s="13" t="s">
        <v>48</v>
      </c>
      <c r="B36" s="17">
        <f t="shared" ref="B36:E36" si="7">(((B32)+(B33))+(B34))+(B35)</f>
        <v>0</v>
      </c>
      <c r="C36" s="17">
        <f t="shared" si="7"/>
        <v>0</v>
      </c>
      <c r="D36" s="17">
        <f t="shared" si="7"/>
        <v>32326.91</v>
      </c>
      <c r="E36" s="17">
        <f t="shared" si="7"/>
        <v>25898.36</v>
      </c>
      <c r="F36" s="17">
        <f t="shared" si="1"/>
        <v>58225.27</v>
      </c>
    </row>
    <row r="37">
      <c r="A37" s="13" t="s">
        <v>49</v>
      </c>
      <c r="B37" s="17">
        <f t="shared" ref="B37:E37" si="8">((B30)+(B31))+(B36)</f>
        <v>0</v>
      </c>
      <c r="C37" s="17">
        <f t="shared" si="8"/>
        <v>0</v>
      </c>
      <c r="D37" s="17">
        <f t="shared" si="8"/>
        <v>36084.79</v>
      </c>
      <c r="E37" s="17">
        <f t="shared" si="8"/>
        <v>25898.36</v>
      </c>
      <c r="F37" s="17">
        <f t="shared" si="1"/>
        <v>61983.15</v>
      </c>
    </row>
    <row r="38">
      <c r="A38" s="13" t="s">
        <v>2</v>
      </c>
      <c r="B38" s="17">
        <f t="shared" ref="B38:E38" si="9">((((B7)+(B10))+(B13))+(B29))+(B37)</f>
        <v>-17622.94</v>
      </c>
      <c r="C38" s="17">
        <f t="shared" si="9"/>
        <v>119958.48</v>
      </c>
      <c r="D38" s="17">
        <f t="shared" si="9"/>
        <v>36084.79</v>
      </c>
      <c r="E38" s="17">
        <f t="shared" si="9"/>
        <v>25898.36</v>
      </c>
      <c r="F38" s="17">
        <f t="shared" si="1"/>
        <v>164318.69</v>
      </c>
    </row>
    <row r="39">
      <c r="A39" s="40" t="s">
        <v>50</v>
      </c>
      <c r="B39" s="27">
        <f t="shared" ref="B39:E39" si="10">(B38)-(0)</f>
        <v>-17622.94</v>
      </c>
      <c r="C39" s="27">
        <f t="shared" si="10"/>
        <v>119958.48</v>
      </c>
      <c r="D39" s="27">
        <f t="shared" si="10"/>
        <v>36084.79</v>
      </c>
      <c r="E39" s="27">
        <f t="shared" si="10"/>
        <v>25898.36</v>
      </c>
      <c r="F39" s="27">
        <f t="shared" si="1"/>
        <v>164318.69</v>
      </c>
    </row>
    <row r="40">
      <c r="A40" s="13" t="s">
        <v>51</v>
      </c>
      <c r="B40" s="14"/>
      <c r="C40" s="14"/>
      <c r="D40" s="14"/>
      <c r="E40" s="14"/>
      <c r="F40" s="14"/>
    </row>
    <row r="41">
      <c r="A41" s="13" t="s">
        <v>52</v>
      </c>
      <c r="B41" s="14"/>
      <c r="C41" s="14"/>
      <c r="D41" s="14"/>
      <c r="E41" s="14"/>
      <c r="F41" s="15">
        <f t="shared" ref="F41:F79" si="11">(((B41)+(C41))+(D41))+(E41)</f>
        <v>0</v>
      </c>
    </row>
    <row r="42">
      <c r="A42" s="13" t="s">
        <v>53</v>
      </c>
      <c r="B42" s="14"/>
      <c r="C42" s="14"/>
      <c r="D42" s="14"/>
      <c r="E42" s="14"/>
      <c r="F42" s="15">
        <f t="shared" si="11"/>
        <v>0</v>
      </c>
    </row>
    <row r="43">
      <c r="A43" s="13" t="s">
        <v>54</v>
      </c>
      <c r="B43" s="15">
        <f>3000</f>
        <v>3000</v>
      </c>
      <c r="C43" s="14"/>
      <c r="D43" s="14"/>
      <c r="E43" s="14"/>
      <c r="F43" s="15">
        <f t="shared" si="11"/>
        <v>3000</v>
      </c>
    </row>
    <row r="44">
      <c r="A44" s="13" t="s">
        <v>55</v>
      </c>
      <c r="B44" s="15">
        <f>12</f>
        <v>12</v>
      </c>
      <c r="C44" s="14"/>
      <c r="D44" s="15">
        <f>3296.25</f>
        <v>3296.25</v>
      </c>
      <c r="E44" s="15">
        <f>2301.25</f>
        <v>2301.25</v>
      </c>
      <c r="F44" s="15">
        <f t="shared" si="11"/>
        <v>5609.5</v>
      </c>
    </row>
    <row r="45">
      <c r="A45" s="13" t="s">
        <v>56</v>
      </c>
      <c r="B45" s="17">
        <f t="shared" ref="B45:E45" si="12">((B42)+(B43))+(B44)</f>
        <v>3012</v>
      </c>
      <c r="C45" s="17">
        <f t="shared" si="12"/>
        <v>0</v>
      </c>
      <c r="D45" s="17">
        <f t="shared" si="12"/>
        <v>3296.25</v>
      </c>
      <c r="E45" s="17">
        <f t="shared" si="12"/>
        <v>2301.25</v>
      </c>
      <c r="F45" s="17">
        <f t="shared" si="11"/>
        <v>8609.5</v>
      </c>
    </row>
    <row r="46">
      <c r="A46" s="13" t="s">
        <v>57</v>
      </c>
      <c r="B46" s="15">
        <f>165</f>
        <v>165</v>
      </c>
      <c r="C46" s="14"/>
      <c r="D46" s="14"/>
      <c r="E46" s="14"/>
      <c r="F46" s="15">
        <f t="shared" si="11"/>
        <v>165</v>
      </c>
    </row>
    <row r="47">
      <c r="A47" s="13" t="s">
        <v>60</v>
      </c>
      <c r="B47" s="14"/>
      <c r="C47" s="14"/>
      <c r="D47" s="15">
        <f>19.99</f>
        <v>19.99</v>
      </c>
      <c r="E47" s="15">
        <f>54</f>
        <v>54</v>
      </c>
      <c r="F47" s="15">
        <f t="shared" si="11"/>
        <v>73.99</v>
      </c>
    </row>
    <row r="48">
      <c r="A48" s="13" t="s">
        <v>61</v>
      </c>
      <c r="B48" s="15">
        <f>3328.32</f>
        <v>3328.32</v>
      </c>
      <c r="C48" s="14"/>
      <c r="D48" s="14"/>
      <c r="E48" s="14"/>
      <c r="F48" s="15">
        <f t="shared" si="11"/>
        <v>3328.32</v>
      </c>
    </row>
    <row r="49">
      <c r="A49" s="13" t="s">
        <v>62</v>
      </c>
      <c r="B49" s="14"/>
      <c r="C49" s="15">
        <f>46.13</f>
        <v>46.13</v>
      </c>
      <c r="D49" s="15">
        <f>1291.76</f>
        <v>1291.76</v>
      </c>
      <c r="E49" s="15">
        <f>161.47</f>
        <v>161.47</v>
      </c>
      <c r="F49" s="15">
        <f t="shared" si="11"/>
        <v>1499.36</v>
      </c>
    </row>
    <row r="50">
      <c r="A50" s="13" t="s">
        <v>63</v>
      </c>
      <c r="B50" s="14"/>
      <c r="C50" s="14"/>
      <c r="D50" s="15">
        <f>1238.7</f>
        <v>1238.7</v>
      </c>
      <c r="E50" s="15">
        <f>246</f>
        <v>246</v>
      </c>
      <c r="F50" s="15">
        <f t="shared" si="11"/>
        <v>1484.7</v>
      </c>
    </row>
    <row r="51">
      <c r="A51" s="13" t="s">
        <v>65</v>
      </c>
      <c r="B51" s="14"/>
      <c r="C51" s="14"/>
      <c r="D51" s="14"/>
      <c r="E51" s="15">
        <f>18.17</f>
        <v>18.17</v>
      </c>
      <c r="F51" s="15">
        <f t="shared" si="11"/>
        <v>18.17</v>
      </c>
    </row>
    <row r="52">
      <c r="A52" s="13" t="s">
        <v>66</v>
      </c>
      <c r="B52" s="15">
        <f>149</f>
        <v>149</v>
      </c>
      <c r="C52" s="15">
        <f>296.2</f>
        <v>296.2</v>
      </c>
      <c r="D52" s="15">
        <f>187.5</f>
        <v>187.5</v>
      </c>
      <c r="E52" s="15">
        <f>218.55</f>
        <v>218.55</v>
      </c>
      <c r="F52" s="15">
        <f t="shared" si="11"/>
        <v>851.25</v>
      </c>
    </row>
    <row r="53">
      <c r="A53" s="13" t="s">
        <v>67</v>
      </c>
      <c r="B53" s="15">
        <f>200</f>
        <v>200</v>
      </c>
      <c r="C53" s="14"/>
      <c r="D53" s="14"/>
      <c r="E53" s="15">
        <f>195.24</f>
        <v>195.24</v>
      </c>
      <c r="F53" s="15">
        <f t="shared" si="11"/>
        <v>395.24</v>
      </c>
    </row>
    <row r="54">
      <c r="A54" s="13" t="s">
        <v>68</v>
      </c>
      <c r="B54" s="15">
        <f>48</f>
        <v>48</v>
      </c>
      <c r="C54" s="14"/>
      <c r="D54" s="14"/>
      <c r="E54" s="15">
        <f>20</f>
        <v>20</v>
      </c>
      <c r="F54" s="15">
        <f t="shared" si="11"/>
        <v>68</v>
      </c>
    </row>
    <row r="55">
      <c r="A55" s="13" t="s">
        <v>69</v>
      </c>
      <c r="B55" s="14"/>
      <c r="C55" s="14"/>
      <c r="D55" s="14"/>
      <c r="E55" s="14"/>
      <c r="F55" s="15">
        <f t="shared" si="11"/>
        <v>0</v>
      </c>
    </row>
    <row r="56">
      <c r="A56" s="13" t="s">
        <v>70</v>
      </c>
      <c r="B56" s="14"/>
      <c r="C56" s="15">
        <f>680.75</f>
        <v>680.75</v>
      </c>
      <c r="D56" s="14"/>
      <c r="E56" s="14"/>
      <c r="F56" s="15">
        <f t="shared" si="11"/>
        <v>680.75</v>
      </c>
    </row>
    <row r="57">
      <c r="A57" s="13" t="s">
        <v>72</v>
      </c>
      <c r="B57" s="17">
        <f t="shared" ref="B57:E57" si="13">(B55)+(B56)</f>
        <v>0</v>
      </c>
      <c r="C57" s="17">
        <f t="shared" si="13"/>
        <v>680.75</v>
      </c>
      <c r="D57" s="17">
        <f t="shared" si="13"/>
        <v>0</v>
      </c>
      <c r="E57" s="17">
        <f t="shared" si="13"/>
        <v>0</v>
      </c>
      <c r="F57" s="17">
        <f t="shared" si="11"/>
        <v>680.75</v>
      </c>
    </row>
    <row r="58">
      <c r="A58" s="13" t="s">
        <v>73</v>
      </c>
      <c r="B58" s="15">
        <f t="shared" ref="B58:E58" si="14">85</f>
        <v>85</v>
      </c>
      <c r="C58" s="15">
        <f t="shared" si="14"/>
        <v>85</v>
      </c>
      <c r="D58" s="15">
        <f t="shared" si="14"/>
        <v>85</v>
      </c>
      <c r="E58" s="15">
        <f t="shared" si="14"/>
        <v>85</v>
      </c>
      <c r="F58" s="15">
        <f t="shared" si="11"/>
        <v>340</v>
      </c>
    </row>
    <row r="59">
      <c r="A59" s="13" t="s">
        <v>74</v>
      </c>
      <c r="B59" s="17">
        <f t="shared" ref="B59:E59" si="15">((((((((((((B41)+(B45))+(B46))+(B47))+(B48))+(B49))+(B50))+(B51))+(B52))+(B53))+(B54))+(B57))+(B58)</f>
        <v>6987.32</v>
      </c>
      <c r="C59" s="17">
        <f t="shared" si="15"/>
        <v>1108.08</v>
      </c>
      <c r="D59" s="17">
        <f t="shared" si="15"/>
        <v>6119.2</v>
      </c>
      <c r="E59" s="17">
        <f t="shared" si="15"/>
        <v>3299.68</v>
      </c>
      <c r="F59" s="17">
        <f t="shared" si="11"/>
        <v>17514.28</v>
      </c>
    </row>
    <row r="60">
      <c r="A60" s="13" t="s">
        <v>75</v>
      </c>
      <c r="B60" s="15">
        <f>188.73</f>
        <v>188.73</v>
      </c>
      <c r="C60" s="14"/>
      <c r="D60" s="14"/>
      <c r="E60" s="14"/>
      <c r="F60" s="15">
        <f t="shared" si="11"/>
        <v>188.73</v>
      </c>
    </row>
    <row r="61">
      <c r="A61" s="13" t="s">
        <v>76</v>
      </c>
      <c r="B61" s="14"/>
      <c r="C61" s="14"/>
      <c r="D61" s="14"/>
      <c r="E61" s="14"/>
      <c r="F61" s="15">
        <f t="shared" si="11"/>
        <v>0</v>
      </c>
    </row>
    <row r="62">
      <c r="A62" s="13" t="s">
        <v>97</v>
      </c>
      <c r="B62" s="14"/>
      <c r="C62" s="15">
        <f>5531.25</f>
        <v>5531.25</v>
      </c>
      <c r="D62" s="14"/>
      <c r="E62" s="15">
        <f>6760.64</f>
        <v>6760.64</v>
      </c>
      <c r="F62" s="15">
        <f t="shared" si="11"/>
        <v>12291.89</v>
      </c>
    </row>
    <row r="63">
      <c r="A63" s="13" t="s">
        <v>98</v>
      </c>
      <c r="B63" s="14"/>
      <c r="C63" s="14"/>
      <c r="D63" s="14"/>
      <c r="E63" s="14"/>
      <c r="F63" s="15">
        <f t="shared" si="11"/>
        <v>0</v>
      </c>
    </row>
    <row r="64">
      <c r="A64" s="13" t="s">
        <v>99</v>
      </c>
      <c r="B64" s="15">
        <f>3904.28</f>
        <v>3904.28</v>
      </c>
      <c r="C64" s="15">
        <f>9536.96</f>
        <v>9536.96</v>
      </c>
      <c r="D64" s="15">
        <f>6410.09</f>
        <v>6410.09</v>
      </c>
      <c r="E64" s="15">
        <f>6603.46</f>
        <v>6603.46</v>
      </c>
      <c r="F64" s="15">
        <f t="shared" si="11"/>
        <v>26454.79</v>
      </c>
    </row>
    <row r="65">
      <c r="A65" s="13" t="s">
        <v>101</v>
      </c>
      <c r="B65" s="14"/>
      <c r="C65" s="14"/>
      <c r="D65" s="14"/>
      <c r="E65" s="14"/>
      <c r="F65" s="15">
        <f t="shared" si="11"/>
        <v>0</v>
      </c>
    </row>
    <row r="66">
      <c r="A66" s="13" t="s">
        <v>241</v>
      </c>
      <c r="B66" s="15">
        <f>497.45</f>
        <v>497.45</v>
      </c>
      <c r="C66" s="14"/>
      <c r="D66" s="14"/>
      <c r="E66" s="14"/>
      <c r="F66" s="15">
        <f t="shared" si="11"/>
        <v>497.45</v>
      </c>
    </row>
    <row r="67">
      <c r="A67" s="13" t="s">
        <v>104</v>
      </c>
      <c r="B67" s="15">
        <f>74.52</f>
        <v>74.52</v>
      </c>
      <c r="C67" s="14"/>
      <c r="D67" s="14"/>
      <c r="E67" s="14"/>
      <c r="F67" s="15">
        <f t="shared" si="11"/>
        <v>74.52</v>
      </c>
    </row>
    <row r="68">
      <c r="A68" s="13" t="s">
        <v>105</v>
      </c>
      <c r="B68" s="17">
        <f t="shared" ref="B68:E68" si="16">((B65)+(B66))+(B67)</f>
        <v>571.97</v>
      </c>
      <c r="C68" s="17">
        <f t="shared" si="16"/>
        <v>0</v>
      </c>
      <c r="D68" s="17">
        <f t="shared" si="16"/>
        <v>0</v>
      </c>
      <c r="E68" s="17">
        <f t="shared" si="16"/>
        <v>0</v>
      </c>
      <c r="F68" s="17">
        <f t="shared" si="11"/>
        <v>571.97</v>
      </c>
    </row>
    <row r="69">
      <c r="A69" s="13" t="s">
        <v>106</v>
      </c>
      <c r="B69" s="15">
        <f>55</f>
        <v>55</v>
      </c>
      <c r="C69" s="14"/>
      <c r="D69" s="14"/>
      <c r="E69" s="14"/>
      <c r="F69" s="15">
        <f t="shared" si="11"/>
        <v>55</v>
      </c>
    </row>
    <row r="70">
      <c r="A70" s="13" t="s">
        <v>107</v>
      </c>
      <c r="B70" s="15">
        <f>4378.09</f>
        <v>4378.09</v>
      </c>
      <c r="C70" s="14"/>
      <c r="D70" s="14"/>
      <c r="E70" s="14"/>
      <c r="F70" s="15">
        <f t="shared" si="11"/>
        <v>4378.09</v>
      </c>
    </row>
    <row r="71">
      <c r="A71" s="13" t="s">
        <v>108</v>
      </c>
      <c r="B71" s="15">
        <f>506.25</f>
        <v>506.25</v>
      </c>
      <c r="C71" s="14"/>
      <c r="D71" s="14"/>
      <c r="E71" s="14"/>
      <c r="F71" s="15">
        <f t="shared" si="11"/>
        <v>506.25</v>
      </c>
    </row>
    <row r="72">
      <c r="A72" s="13" t="s">
        <v>109</v>
      </c>
      <c r="B72" s="14"/>
      <c r="C72" s="14"/>
      <c r="D72" s="14"/>
      <c r="E72" s="15">
        <f>840.7</f>
        <v>840.7</v>
      </c>
      <c r="F72" s="15">
        <f t="shared" si="11"/>
        <v>840.7</v>
      </c>
    </row>
    <row r="73">
      <c r="A73" s="13" t="s">
        <v>110</v>
      </c>
      <c r="B73" s="17">
        <f t="shared" ref="B73:E73" si="17">((((((B63)+(B64))+(B68))+(B69))+(B70))+(B71))+(B72)</f>
        <v>9415.59</v>
      </c>
      <c r="C73" s="17">
        <f t="shared" si="17"/>
        <v>9536.96</v>
      </c>
      <c r="D73" s="17">
        <f t="shared" si="17"/>
        <v>6410.09</v>
      </c>
      <c r="E73" s="17">
        <f t="shared" si="17"/>
        <v>7444.16</v>
      </c>
      <c r="F73" s="17">
        <f t="shared" si="11"/>
        <v>32806.8</v>
      </c>
    </row>
    <row r="74">
      <c r="A74" s="13" t="s">
        <v>111</v>
      </c>
      <c r="B74" s="15">
        <f>27.93</f>
        <v>27.93</v>
      </c>
      <c r="C74" s="14"/>
      <c r="D74" s="14"/>
      <c r="E74" s="14"/>
      <c r="F74" s="15">
        <f t="shared" si="11"/>
        <v>27.93</v>
      </c>
    </row>
    <row r="75">
      <c r="A75" s="13" t="s">
        <v>112</v>
      </c>
      <c r="B75" s="17">
        <f t="shared" ref="B75:E75" si="18">((B62)+(B73))+(B74)</f>
        <v>9443.52</v>
      </c>
      <c r="C75" s="17">
        <f t="shared" si="18"/>
        <v>15068.21</v>
      </c>
      <c r="D75" s="17">
        <f t="shared" si="18"/>
        <v>6410.09</v>
      </c>
      <c r="E75" s="17">
        <f t="shared" si="18"/>
        <v>14204.8</v>
      </c>
      <c r="F75" s="17">
        <f t="shared" si="11"/>
        <v>45126.62</v>
      </c>
    </row>
    <row r="76">
      <c r="A76" s="13" t="s">
        <v>113</v>
      </c>
      <c r="B76" s="17">
        <f t="shared" ref="B76:E76" si="19">(B61)+(B75)</f>
        <v>9443.52</v>
      </c>
      <c r="C76" s="17">
        <f t="shared" si="19"/>
        <v>15068.21</v>
      </c>
      <c r="D76" s="17">
        <f t="shared" si="19"/>
        <v>6410.09</v>
      </c>
      <c r="E76" s="17">
        <f t="shared" si="19"/>
        <v>14204.8</v>
      </c>
      <c r="F76" s="17">
        <f t="shared" si="11"/>
        <v>45126.62</v>
      </c>
    </row>
    <row r="77">
      <c r="A77" s="40" t="s">
        <v>114</v>
      </c>
      <c r="B77" s="27">
        <f t="shared" ref="B77:E77" si="20">((B59)+(B60))+(B76)</f>
        <v>16619.57</v>
      </c>
      <c r="C77" s="27">
        <f t="shared" si="20"/>
        <v>16176.29</v>
      </c>
      <c r="D77" s="27">
        <f t="shared" si="20"/>
        <v>12529.29</v>
      </c>
      <c r="E77" s="27">
        <f t="shared" si="20"/>
        <v>17504.48</v>
      </c>
      <c r="F77" s="27">
        <f t="shared" si="11"/>
        <v>62829.63</v>
      </c>
    </row>
    <row r="78">
      <c r="A78" s="13" t="s">
        <v>115</v>
      </c>
      <c r="B78" s="20">
        <f t="shared" ref="B78:E78" si="21">(B39)-(B77)</f>
        <v>-34242.51</v>
      </c>
      <c r="C78" s="17">
        <f t="shared" si="21"/>
        <v>103782.19</v>
      </c>
      <c r="D78" s="17">
        <f t="shared" si="21"/>
        <v>23555.5</v>
      </c>
      <c r="E78" s="17">
        <f t="shared" si="21"/>
        <v>8393.88</v>
      </c>
      <c r="F78" s="17">
        <f t="shared" si="11"/>
        <v>101489.06</v>
      </c>
    </row>
    <row r="79">
      <c r="A79" s="40" t="s">
        <v>4</v>
      </c>
      <c r="B79" s="28">
        <f t="shared" ref="B79:E79" si="22">(B78)+(0)</f>
        <v>-34242.51</v>
      </c>
      <c r="C79" s="27">
        <f t="shared" si="22"/>
        <v>103782.19</v>
      </c>
      <c r="D79" s="27">
        <f t="shared" si="22"/>
        <v>23555.5</v>
      </c>
      <c r="E79" s="27">
        <f t="shared" si="22"/>
        <v>8393.88</v>
      </c>
      <c r="F79" s="27">
        <f t="shared" si="11"/>
        <v>101489.06</v>
      </c>
    </row>
    <row r="80">
      <c r="A80" s="13"/>
      <c r="B80" s="14"/>
      <c r="C80" s="14"/>
      <c r="D80" s="14"/>
      <c r="E80" s="14"/>
      <c r="F80" s="14"/>
    </row>
    <row r="81"/>
    <row r="82"/>
    <row r="83">
      <c r="A83" s="19" t="s">
        <v>269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83:F83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  <c r="D2" s="39"/>
      <c r="E2" s="5" t="s">
        <v>128</v>
      </c>
    </row>
    <row r="3">
      <c r="A3" s="9" t="s">
        <v>270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40" t="s">
        <v>133</v>
      </c>
      <c r="B10" s="22">
        <f>165000</f>
        <v>165000</v>
      </c>
      <c r="C10" s="5" t="s">
        <v>128</v>
      </c>
    </row>
    <row r="11">
      <c r="A11" s="40" t="s">
        <v>134</v>
      </c>
      <c r="B11" s="22">
        <f>125000</f>
        <v>125000</v>
      </c>
      <c r="C11" s="5" t="s">
        <v>128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376826.05</f>
        <v>376826.05</v>
      </c>
    </row>
    <row r="16">
      <c r="A16" s="13" t="s">
        <v>140</v>
      </c>
      <c r="B16" s="15">
        <f>167762.09</f>
        <v>167762.09</v>
      </c>
    </row>
    <row r="17">
      <c r="A17" s="13" t="s">
        <v>141</v>
      </c>
      <c r="B17" s="15">
        <f>98244.87</f>
        <v>98244.87</v>
      </c>
      <c r="C17" s="5" t="s">
        <v>271</v>
      </c>
    </row>
    <row r="18">
      <c r="A18" s="13" t="s">
        <v>143</v>
      </c>
      <c r="B18" s="17">
        <f>(((B14)+(B15))+(B16))+(B17)</f>
        <v>642833.01</v>
      </c>
    </row>
    <row r="19">
      <c r="A19" s="13" t="s">
        <v>144</v>
      </c>
      <c r="B19" s="17">
        <f>(B13)+(B18)</f>
        <v>996927.5</v>
      </c>
    </row>
    <row r="20">
      <c r="A20" s="13" t="s">
        <v>145</v>
      </c>
      <c r="B20" s="14"/>
    </row>
    <row r="21">
      <c r="A21" s="13" t="s">
        <v>146</v>
      </c>
      <c r="B21" s="15">
        <f>61983.15</f>
        <v>61983.15</v>
      </c>
    </row>
    <row r="22">
      <c r="A22" s="13" t="s">
        <v>147</v>
      </c>
      <c r="B22" s="17">
        <f>B21</f>
        <v>61983.15</v>
      </c>
    </row>
    <row r="23">
      <c r="A23" s="13" t="s">
        <v>148</v>
      </c>
      <c r="B23" s="14"/>
    </row>
    <row r="24">
      <c r="A24" s="13" t="s">
        <v>149</v>
      </c>
      <c r="B24" s="15">
        <f t="shared" ref="B24:B26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>728.37</f>
        <v>728.37</v>
      </c>
    </row>
    <row r="28">
      <c r="A28" s="13" t="s">
        <v>153</v>
      </c>
      <c r="B28" s="15">
        <f t="shared" ref="B28:B31" si="2">0</f>
        <v>0</v>
      </c>
    </row>
    <row r="29">
      <c r="A29" s="13" t="s">
        <v>154</v>
      </c>
      <c r="B29" s="15">
        <f t="shared" si="2"/>
        <v>0</v>
      </c>
    </row>
    <row r="30">
      <c r="A30" s="13" t="s">
        <v>155</v>
      </c>
      <c r="B30" s="15">
        <f t="shared" si="2"/>
        <v>0</v>
      </c>
    </row>
    <row r="31">
      <c r="A31" s="13" t="s">
        <v>156</v>
      </c>
      <c r="B31" s="15">
        <f t="shared" si="2"/>
        <v>0</v>
      </c>
    </row>
    <row r="32">
      <c r="A32" s="13" t="s">
        <v>157</v>
      </c>
      <c r="B32" s="17">
        <f>(((((((B24)+(B25))+(B26))+(B27))+(B28))+(B29))+(B30))+(B31)</f>
        <v>728.37</v>
      </c>
    </row>
    <row r="33">
      <c r="A33" s="13" t="s">
        <v>158</v>
      </c>
      <c r="B33" s="17">
        <f>((B19)+(B22))+(B32)</f>
        <v>1059639.02</v>
      </c>
    </row>
    <row r="34">
      <c r="A34" s="13" t="s">
        <v>159</v>
      </c>
      <c r="B34" s="14"/>
    </row>
    <row r="35">
      <c r="A35" s="13" t="s">
        <v>160</v>
      </c>
      <c r="B35" s="15">
        <f>162750</f>
        <v>162750</v>
      </c>
    </row>
    <row r="36">
      <c r="A36" s="13" t="s">
        <v>161</v>
      </c>
      <c r="B36" s="15">
        <f>475000</f>
        <v>475000</v>
      </c>
    </row>
    <row r="37">
      <c r="A37" s="13" t="s">
        <v>162</v>
      </c>
      <c r="B37" s="15">
        <f>110000</f>
        <v>110000</v>
      </c>
    </row>
    <row r="38">
      <c r="A38" s="13" t="s">
        <v>163</v>
      </c>
      <c r="B38" s="17">
        <f>((B35)+(B36))+(B37)</f>
        <v>747750</v>
      </c>
    </row>
    <row r="39">
      <c r="A39" s="13" t="s">
        <v>164</v>
      </c>
      <c r="B39" s="14"/>
    </row>
    <row r="40">
      <c r="A40" s="13" t="s">
        <v>165</v>
      </c>
      <c r="B40" s="15">
        <f>0</f>
        <v>0</v>
      </c>
    </row>
    <row r="41">
      <c r="A41" s="13" t="s">
        <v>166</v>
      </c>
      <c r="B41" s="17">
        <f>B40</f>
        <v>0</v>
      </c>
    </row>
    <row r="42">
      <c r="A42" s="13" t="s">
        <v>167</v>
      </c>
      <c r="B42" s="17">
        <f>((B33)+(B38))+(B41)</f>
        <v>1807389.02</v>
      </c>
    </row>
    <row r="43">
      <c r="A43" s="13" t="s">
        <v>168</v>
      </c>
      <c r="B43" s="14"/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5">
        <f>6940.46</f>
        <v>6940.46</v>
      </c>
    </row>
    <row r="48">
      <c r="A48" s="13" t="s">
        <v>173</v>
      </c>
      <c r="B48" s="17">
        <f>B47</f>
        <v>6940.46</v>
      </c>
    </row>
    <row r="49">
      <c r="A49" s="13" t="s">
        <v>174</v>
      </c>
      <c r="B49" s="14"/>
    </row>
    <row r="50">
      <c r="A50" s="13" t="s">
        <v>175</v>
      </c>
      <c r="B50" s="15">
        <f>0</f>
        <v>0</v>
      </c>
    </row>
    <row r="51">
      <c r="A51" s="13" t="s">
        <v>176</v>
      </c>
      <c r="B51" s="15">
        <f>218.55</f>
        <v>218.55</v>
      </c>
    </row>
    <row r="52">
      <c r="A52" s="13" t="s">
        <v>177</v>
      </c>
      <c r="B52" s="17">
        <f>(B50)+(B51)</f>
        <v>218.55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3">0</f>
        <v>0</v>
      </c>
    </row>
    <row r="55">
      <c r="A55" s="13" t="s">
        <v>180</v>
      </c>
      <c r="B55" s="15">
        <f t="shared" si="3"/>
        <v>0</v>
      </c>
    </row>
    <row r="56">
      <c r="A56" s="13" t="s">
        <v>181</v>
      </c>
      <c r="B56" s="15">
        <f t="shared" si="3"/>
        <v>0</v>
      </c>
    </row>
    <row r="57">
      <c r="A57" s="13" t="s">
        <v>182</v>
      </c>
      <c r="B57" s="17">
        <f>((B54)+(B55))+(B56)</f>
        <v>0</v>
      </c>
    </row>
    <row r="58">
      <c r="A58" s="13" t="s">
        <v>183</v>
      </c>
      <c r="B58" s="17">
        <f>((B48)+(B52))+(B57)</f>
        <v>7159.01</v>
      </c>
    </row>
    <row r="59">
      <c r="A59" s="13" t="s">
        <v>184</v>
      </c>
      <c r="B59" s="17">
        <f>B58</f>
        <v>7159.01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1710431.76</f>
        <v>1710431.76</v>
      </c>
    </row>
    <row r="63">
      <c r="A63" s="13" t="s">
        <v>188</v>
      </c>
      <c r="B63" s="15">
        <f>89798.25</f>
        <v>89798.25</v>
      </c>
    </row>
    <row r="64">
      <c r="A64" s="13" t="s">
        <v>189</v>
      </c>
      <c r="B64" s="17">
        <f>((B61)+(B62))+(B63)</f>
        <v>1800230.01</v>
      </c>
    </row>
    <row r="65">
      <c r="A65" s="13" t="s">
        <v>190</v>
      </c>
      <c r="B65" s="17">
        <f>(B59)+(B64)</f>
        <v>1807389.02</v>
      </c>
    </row>
    <row r="66">
      <c r="A66" s="13"/>
      <c r="B66" s="14"/>
    </row>
    <row r="67"/>
    <row r="68"/>
    <row r="69">
      <c r="A69" s="19" t="s">
        <v>272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117</v>
      </c>
    </row>
    <row r="3">
      <c r="A3" s="9" t="s">
        <v>261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268</v>
      </c>
      <c r="B7" s="14"/>
      <c r="C7" s="15">
        <f>-18519.48</f>
        <v>-18519.48</v>
      </c>
      <c r="D7" s="14"/>
      <c r="E7" s="14"/>
      <c r="F7" s="14"/>
      <c r="G7" s="15">
        <f t="shared" ref="G7:G39" si="1">((((B7)+(C7))+(D7))+(E7))+(F7)</f>
        <v>-18519.48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896.54</f>
        <v>896.54</v>
      </c>
      <c r="C9" s="14"/>
      <c r="D9" s="14"/>
      <c r="E9" s="14"/>
      <c r="F9" s="14"/>
      <c r="G9" s="15">
        <f t="shared" si="1"/>
        <v>896.54</v>
      </c>
    </row>
    <row r="10">
      <c r="A10" s="13" t="s">
        <v>18</v>
      </c>
      <c r="B10" s="17">
        <f t="shared" ref="B10:F10" si="2">(B8)+(B9)</f>
        <v>896.54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1"/>
        <v>896.54</v>
      </c>
    </row>
    <row r="11">
      <c r="A11" s="13" t="s">
        <v>19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5">
        <f>0</f>
        <v>0</v>
      </c>
      <c r="G12" s="15">
        <f t="shared" si="1"/>
        <v>0</v>
      </c>
    </row>
    <row r="13">
      <c r="A13" s="13" t="s">
        <v>21</v>
      </c>
      <c r="B13" s="17">
        <f t="shared" ref="B13:F13" si="3">(B11)+(B12)</f>
        <v>0</v>
      </c>
      <c r="C13" s="17">
        <f t="shared" si="3"/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5">
        <f t="shared" si="1"/>
        <v>0</v>
      </c>
    </row>
    <row r="15">
      <c r="A15" s="13" t="s">
        <v>25</v>
      </c>
      <c r="B15" s="14"/>
      <c r="C15" s="14"/>
      <c r="D15" s="15">
        <f t="shared" ref="D15:D16" si="4">2577.08</f>
        <v>2577.08</v>
      </c>
      <c r="E15" s="14"/>
      <c r="F15" s="14"/>
      <c r="G15" s="15">
        <f t="shared" si="1"/>
        <v>2577.08</v>
      </c>
    </row>
    <row r="16">
      <c r="A16" s="13" t="s">
        <v>26</v>
      </c>
      <c r="B16" s="14"/>
      <c r="C16" s="14"/>
      <c r="D16" s="15">
        <f t="shared" si="4"/>
        <v>2577.08</v>
      </c>
      <c r="E16" s="14"/>
      <c r="F16" s="14"/>
      <c r="G16" s="15">
        <f t="shared" si="1"/>
        <v>2577.08</v>
      </c>
    </row>
    <row r="17">
      <c r="A17" s="13" t="s">
        <v>27</v>
      </c>
      <c r="B17" s="14"/>
      <c r="C17" s="14"/>
      <c r="D17" s="15">
        <f>33266.72</f>
        <v>33266.72</v>
      </c>
      <c r="E17" s="14"/>
      <c r="F17" s="14"/>
      <c r="G17" s="15">
        <f t="shared" si="1"/>
        <v>33266.72</v>
      </c>
    </row>
    <row r="18">
      <c r="A18" s="13" t="s">
        <v>28</v>
      </c>
      <c r="B18" s="14"/>
      <c r="C18" s="14"/>
      <c r="D18" s="15">
        <f>2586.08</f>
        <v>2586.08</v>
      </c>
      <c r="E18" s="14"/>
      <c r="F18" s="14"/>
      <c r="G18" s="15">
        <f t="shared" si="1"/>
        <v>2586.08</v>
      </c>
    </row>
    <row r="19">
      <c r="A19" s="13" t="s">
        <v>29</v>
      </c>
      <c r="B19" s="14"/>
      <c r="C19" s="14"/>
      <c r="D19" s="15">
        <f>2573.85</f>
        <v>2573.85</v>
      </c>
      <c r="E19" s="14"/>
      <c r="F19" s="14"/>
      <c r="G19" s="15">
        <f t="shared" si="1"/>
        <v>2573.85</v>
      </c>
    </row>
    <row r="20">
      <c r="A20" s="13" t="s">
        <v>31</v>
      </c>
      <c r="B20" s="14"/>
      <c r="C20" s="14"/>
      <c r="D20" s="15">
        <f>2576.08</f>
        <v>2576.08</v>
      </c>
      <c r="E20" s="14"/>
      <c r="F20" s="14"/>
      <c r="G20" s="15">
        <f t="shared" si="1"/>
        <v>2576.08</v>
      </c>
    </row>
    <row r="21">
      <c r="A21" s="13" t="s">
        <v>32</v>
      </c>
      <c r="B21" s="14"/>
      <c r="C21" s="14"/>
      <c r="D21" s="15">
        <f>15000</f>
        <v>15000</v>
      </c>
      <c r="E21" s="14"/>
      <c r="F21" s="14"/>
      <c r="G21" s="15">
        <f t="shared" si="1"/>
        <v>15000</v>
      </c>
    </row>
    <row r="22">
      <c r="A22" s="13" t="s">
        <v>33</v>
      </c>
      <c r="B22" s="14"/>
      <c r="C22" s="14"/>
      <c r="D22" s="15">
        <f>8157.31</f>
        <v>8157.31</v>
      </c>
      <c r="E22" s="14"/>
      <c r="F22" s="14"/>
      <c r="G22" s="15">
        <f t="shared" si="1"/>
        <v>8157.31</v>
      </c>
    </row>
    <row r="23">
      <c r="A23" s="13" t="s">
        <v>34</v>
      </c>
      <c r="B23" s="14"/>
      <c r="C23" s="14"/>
      <c r="D23" s="15">
        <f t="shared" ref="D23:D24" si="5">9738.23</f>
        <v>9738.23</v>
      </c>
      <c r="E23" s="14"/>
      <c r="F23" s="14"/>
      <c r="G23" s="15">
        <f t="shared" si="1"/>
        <v>9738.23</v>
      </c>
    </row>
    <row r="24">
      <c r="A24" s="13" t="s">
        <v>35</v>
      </c>
      <c r="B24" s="14"/>
      <c r="C24" s="14"/>
      <c r="D24" s="15">
        <f t="shared" si="5"/>
        <v>9738.23</v>
      </c>
      <c r="E24" s="14"/>
      <c r="F24" s="14"/>
      <c r="G24" s="15">
        <f t="shared" si="1"/>
        <v>9738.23</v>
      </c>
    </row>
    <row r="25">
      <c r="A25" s="13" t="s">
        <v>36</v>
      </c>
      <c r="B25" s="14"/>
      <c r="C25" s="14"/>
      <c r="D25" s="15">
        <f>18839.93</f>
        <v>18839.93</v>
      </c>
      <c r="E25" s="14"/>
      <c r="F25" s="14"/>
      <c r="G25" s="15">
        <f t="shared" si="1"/>
        <v>18839.93</v>
      </c>
    </row>
    <row r="26">
      <c r="A26" s="13" t="s">
        <v>37</v>
      </c>
      <c r="B26" s="14"/>
      <c r="C26" s="14"/>
      <c r="D26" s="15">
        <f>4876.41</f>
        <v>4876.41</v>
      </c>
      <c r="E26" s="14"/>
      <c r="F26" s="14"/>
      <c r="G26" s="15">
        <f t="shared" si="1"/>
        <v>4876.41</v>
      </c>
    </row>
    <row r="27">
      <c r="A27" s="13" t="s">
        <v>38</v>
      </c>
      <c r="B27" s="14"/>
      <c r="C27" s="14"/>
      <c r="D27" s="15">
        <f>4874.4</f>
        <v>4874.4</v>
      </c>
      <c r="E27" s="14"/>
      <c r="F27" s="14"/>
      <c r="G27" s="15">
        <f t="shared" si="1"/>
        <v>4874.4</v>
      </c>
    </row>
    <row r="28">
      <c r="A28" s="13" t="s">
        <v>39</v>
      </c>
      <c r="B28" s="14"/>
      <c r="C28" s="14"/>
      <c r="D28" s="15">
        <f>2577.08</f>
        <v>2577.08</v>
      </c>
      <c r="E28" s="14"/>
      <c r="F28" s="14"/>
      <c r="G28" s="15">
        <f t="shared" si="1"/>
        <v>2577.08</v>
      </c>
    </row>
    <row r="29">
      <c r="A29" s="13" t="s">
        <v>40</v>
      </c>
      <c r="B29" s="17">
        <f t="shared" ref="B29:F29" si="6">((((((((((((((B14)+(B15))+(B16))+(B17))+(B18))+(B19))+(B20))+(B21))+(B22))+(B23))+(B24))+(B25))+(B26))+(B27))+(B28)</f>
        <v>0</v>
      </c>
      <c r="C29" s="17">
        <f t="shared" si="6"/>
        <v>0</v>
      </c>
      <c r="D29" s="17">
        <f t="shared" si="6"/>
        <v>119958.48</v>
      </c>
      <c r="E29" s="17">
        <f t="shared" si="6"/>
        <v>0</v>
      </c>
      <c r="F29" s="17">
        <f t="shared" si="6"/>
        <v>0</v>
      </c>
      <c r="G29" s="17">
        <f t="shared" si="1"/>
        <v>119958.48</v>
      </c>
    </row>
    <row r="30">
      <c r="A30" s="13" t="s">
        <v>41</v>
      </c>
      <c r="B30" s="14"/>
      <c r="C30" s="14"/>
      <c r="D30" s="14"/>
      <c r="E30" s="14"/>
      <c r="F30" s="14"/>
      <c r="G30" s="15">
        <f t="shared" si="1"/>
        <v>0</v>
      </c>
    </row>
    <row r="31">
      <c r="A31" s="13" t="s">
        <v>42</v>
      </c>
      <c r="B31" s="14"/>
      <c r="C31" s="15">
        <f>3757.88</f>
        <v>3757.88</v>
      </c>
      <c r="D31" s="14"/>
      <c r="E31" s="14"/>
      <c r="F31" s="14"/>
      <c r="G31" s="15">
        <f t="shared" si="1"/>
        <v>3757.88</v>
      </c>
    </row>
    <row r="32">
      <c r="A32" s="13" t="s">
        <v>43</v>
      </c>
      <c r="B32" s="14"/>
      <c r="C32" s="15">
        <f>28763.06</f>
        <v>28763.06</v>
      </c>
      <c r="D32" s="14"/>
      <c r="E32" s="14"/>
      <c r="F32" s="14"/>
      <c r="G32" s="15">
        <f t="shared" si="1"/>
        <v>28763.06</v>
      </c>
    </row>
    <row r="33">
      <c r="A33" s="13" t="s">
        <v>44</v>
      </c>
      <c r="B33" s="14"/>
      <c r="C33" s="14"/>
      <c r="D33" s="14"/>
      <c r="E33" s="15">
        <f>25898.36</f>
        <v>25898.36</v>
      </c>
      <c r="F33" s="14"/>
      <c r="G33" s="15">
        <f t="shared" si="1"/>
        <v>25898.36</v>
      </c>
    </row>
    <row r="34">
      <c r="A34" s="13" t="s">
        <v>46</v>
      </c>
      <c r="B34" s="14"/>
      <c r="C34" s="15">
        <f>2665.14</f>
        <v>2665.14</v>
      </c>
      <c r="D34" s="14"/>
      <c r="E34" s="14"/>
      <c r="F34" s="14"/>
      <c r="G34" s="15">
        <f t="shared" si="1"/>
        <v>2665.14</v>
      </c>
    </row>
    <row r="35">
      <c r="A35" s="13" t="s">
        <v>47</v>
      </c>
      <c r="B35" s="14"/>
      <c r="C35" s="15">
        <f>898.71</f>
        <v>898.71</v>
      </c>
      <c r="D35" s="14"/>
      <c r="E35" s="14"/>
      <c r="F35" s="14"/>
      <c r="G35" s="15">
        <f t="shared" si="1"/>
        <v>898.71</v>
      </c>
    </row>
    <row r="36">
      <c r="A36" s="13" t="s">
        <v>48</v>
      </c>
      <c r="B36" s="17">
        <f t="shared" ref="B36:F36" si="7">(((B32)+(B33))+(B34))+(B35)</f>
        <v>0</v>
      </c>
      <c r="C36" s="17">
        <f t="shared" si="7"/>
        <v>32326.91</v>
      </c>
      <c r="D36" s="17">
        <f t="shared" si="7"/>
        <v>0</v>
      </c>
      <c r="E36" s="17">
        <f t="shared" si="7"/>
        <v>25898.36</v>
      </c>
      <c r="F36" s="17">
        <f t="shared" si="7"/>
        <v>0</v>
      </c>
      <c r="G36" s="17">
        <f t="shared" si="1"/>
        <v>58225.27</v>
      </c>
    </row>
    <row r="37">
      <c r="A37" s="13" t="s">
        <v>49</v>
      </c>
      <c r="B37" s="17">
        <f t="shared" ref="B37:F37" si="8">((B30)+(B31))+(B36)</f>
        <v>0</v>
      </c>
      <c r="C37" s="17">
        <f t="shared" si="8"/>
        <v>36084.79</v>
      </c>
      <c r="D37" s="17">
        <f t="shared" si="8"/>
        <v>0</v>
      </c>
      <c r="E37" s="17">
        <f t="shared" si="8"/>
        <v>25898.36</v>
      </c>
      <c r="F37" s="17">
        <f t="shared" si="8"/>
        <v>0</v>
      </c>
      <c r="G37" s="17">
        <f t="shared" si="1"/>
        <v>61983.15</v>
      </c>
    </row>
    <row r="38">
      <c r="A38" s="13" t="s">
        <v>2</v>
      </c>
      <c r="B38" s="17">
        <f t="shared" ref="B38:F38" si="9">((((B7)+(B10))+(B13))+(B29))+(B37)</f>
        <v>896.54</v>
      </c>
      <c r="C38" s="17">
        <f t="shared" si="9"/>
        <v>17565.31</v>
      </c>
      <c r="D38" s="17">
        <f t="shared" si="9"/>
        <v>119958.48</v>
      </c>
      <c r="E38" s="17">
        <f t="shared" si="9"/>
        <v>25898.36</v>
      </c>
      <c r="F38" s="17">
        <f t="shared" si="9"/>
        <v>0</v>
      </c>
      <c r="G38" s="17">
        <f t="shared" si="1"/>
        <v>164318.69</v>
      </c>
    </row>
    <row r="39">
      <c r="A39" s="13" t="s">
        <v>50</v>
      </c>
      <c r="B39" s="17">
        <f t="shared" ref="B39:F39" si="10">(B38)-(0)</f>
        <v>896.54</v>
      </c>
      <c r="C39" s="17">
        <f t="shared" si="10"/>
        <v>17565.31</v>
      </c>
      <c r="D39" s="17">
        <f t="shared" si="10"/>
        <v>119958.48</v>
      </c>
      <c r="E39" s="17">
        <f t="shared" si="10"/>
        <v>25898.36</v>
      </c>
      <c r="F39" s="17">
        <f t="shared" si="10"/>
        <v>0</v>
      </c>
      <c r="G39" s="17">
        <f t="shared" si="1"/>
        <v>164318.69</v>
      </c>
    </row>
    <row r="40">
      <c r="A40" s="13" t="s">
        <v>51</v>
      </c>
      <c r="B40" s="14"/>
      <c r="C40" s="14"/>
      <c r="D40" s="14"/>
      <c r="E40" s="14"/>
      <c r="F40" s="14"/>
      <c r="G40" s="14"/>
    </row>
    <row r="41">
      <c r="A41" s="13" t="s">
        <v>52</v>
      </c>
      <c r="B41" s="14"/>
      <c r="C41" s="14"/>
      <c r="D41" s="14"/>
      <c r="E41" s="14"/>
      <c r="F41" s="14"/>
      <c r="G41" s="15">
        <f t="shared" ref="G41:G79" si="11">((((B41)+(C41))+(D41))+(E41))+(F41)</f>
        <v>0</v>
      </c>
    </row>
    <row r="42">
      <c r="A42" s="13" t="s">
        <v>53</v>
      </c>
      <c r="B42" s="14"/>
      <c r="C42" s="14"/>
      <c r="D42" s="14"/>
      <c r="E42" s="14"/>
      <c r="F42" s="14"/>
      <c r="G42" s="15">
        <f t="shared" si="11"/>
        <v>0</v>
      </c>
    </row>
    <row r="43">
      <c r="A43" s="13" t="s">
        <v>54</v>
      </c>
      <c r="B43" s="15">
        <f>3000</f>
        <v>3000</v>
      </c>
      <c r="C43" s="14"/>
      <c r="D43" s="14"/>
      <c r="E43" s="14"/>
      <c r="F43" s="14"/>
      <c r="G43" s="15">
        <f t="shared" si="11"/>
        <v>3000</v>
      </c>
    </row>
    <row r="44">
      <c r="A44" s="13" t="s">
        <v>55</v>
      </c>
      <c r="B44" s="15">
        <f>4618.25</f>
        <v>4618.25</v>
      </c>
      <c r="C44" s="15">
        <f>991.25</f>
        <v>991.25</v>
      </c>
      <c r="D44" s="14"/>
      <c r="E44" s="14"/>
      <c r="F44" s="14"/>
      <c r="G44" s="15">
        <f t="shared" si="11"/>
        <v>5609.5</v>
      </c>
    </row>
    <row r="45">
      <c r="A45" s="13" t="s">
        <v>56</v>
      </c>
      <c r="B45" s="17">
        <f t="shared" ref="B45:F45" si="12">((B42)+(B43))+(B44)</f>
        <v>7618.25</v>
      </c>
      <c r="C45" s="17">
        <f t="shared" si="12"/>
        <v>991.25</v>
      </c>
      <c r="D45" s="17">
        <f t="shared" si="12"/>
        <v>0</v>
      </c>
      <c r="E45" s="17">
        <f t="shared" si="12"/>
        <v>0</v>
      </c>
      <c r="F45" s="17">
        <f t="shared" si="12"/>
        <v>0</v>
      </c>
      <c r="G45" s="17">
        <f t="shared" si="11"/>
        <v>8609.5</v>
      </c>
    </row>
    <row r="46">
      <c r="A46" s="13" t="s">
        <v>57</v>
      </c>
      <c r="B46" s="15">
        <f>165</f>
        <v>165</v>
      </c>
      <c r="C46" s="14"/>
      <c r="D46" s="14"/>
      <c r="E46" s="14"/>
      <c r="F46" s="14"/>
      <c r="G46" s="15">
        <f t="shared" si="11"/>
        <v>165</v>
      </c>
    </row>
    <row r="47">
      <c r="A47" s="13" t="s">
        <v>60</v>
      </c>
      <c r="B47" s="15">
        <f>73.99</f>
        <v>73.99</v>
      </c>
      <c r="C47" s="14"/>
      <c r="D47" s="14"/>
      <c r="E47" s="14"/>
      <c r="F47" s="14"/>
      <c r="G47" s="15">
        <f t="shared" si="11"/>
        <v>73.99</v>
      </c>
    </row>
    <row r="48">
      <c r="A48" s="13" t="s">
        <v>61</v>
      </c>
      <c r="B48" s="15">
        <f>3328.32</f>
        <v>3328.32</v>
      </c>
      <c r="C48" s="14"/>
      <c r="D48" s="14"/>
      <c r="E48" s="14"/>
      <c r="F48" s="14"/>
      <c r="G48" s="15">
        <f t="shared" si="11"/>
        <v>3328.32</v>
      </c>
    </row>
    <row r="49">
      <c r="A49" s="13" t="s">
        <v>62</v>
      </c>
      <c r="B49" s="15">
        <f>1499.36</f>
        <v>1499.36</v>
      </c>
      <c r="C49" s="14"/>
      <c r="D49" s="14"/>
      <c r="E49" s="14"/>
      <c r="F49" s="14"/>
      <c r="G49" s="15">
        <f t="shared" si="11"/>
        <v>1499.36</v>
      </c>
    </row>
    <row r="50">
      <c r="A50" s="13" t="s">
        <v>63</v>
      </c>
      <c r="B50" s="15">
        <f>1484.7</f>
        <v>1484.7</v>
      </c>
      <c r="C50" s="14"/>
      <c r="D50" s="14"/>
      <c r="E50" s="14"/>
      <c r="F50" s="14"/>
      <c r="G50" s="15">
        <f t="shared" si="11"/>
        <v>1484.7</v>
      </c>
    </row>
    <row r="51">
      <c r="A51" s="13" t="s">
        <v>65</v>
      </c>
      <c r="B51" s="15">
        <f>18.17</f>
        <v>18.17</v>
      </c>
      <c r="C51" s="14"/>
      <c r="D51" s="14"/>
      <c r="E51" s="14"/>
      <c r="F51" s="14"/>
      <c r="G51" s="15">
        <f t="shared" si="11"/>
        <v>18.17</v>
      </c>
    </row>
    <row r="52">
      <c r="A52" s="13" t="s">
        <v>66</v>
      </c>
      <c r="B52" s="15">
        <f>576.25</f>
        <v>576.25</v>
      </c>
      <c r="C52" s="15">
        <f>275</f>
        <v>275</v>
      </c>
      <c r="D52" s="14"/>
      <c r="E52" s="14"/>
      <c r="F52" s="14"/>
      <c r="G52" s="15">
        <f t="shared" si="11"/>
        <v>851.25</v>
      </c>
    </row>
    <row r="53">
      <c r="A53" s="13" t="s">
        <v>67</v>
      </c>
      <c r="B53" s="15">
        <f>395.24</f>
        <v>395.24</v>
      </c>
      <c r="C53" s="14"/>
      <c r="D53" s="14"/>
      <c r="E53" s="14"/>
      <c r="F53" s="14"/>
      <c r="G53" s="15">
        <f t="shared" si="11"/>
        <v>395.24</v>
      </c>
    </row>
    <row r="54">
      <c r="A54" s="13" t="s">
        <v>68</v>
      </c>
      <c r="B54" s="15">
        <f>48</f>
        <v>48</v>
      </c>
      <c r="C54" s="15">
        <f>20</f>
        <v>20</v>
      </c>
      <c r="D54" s="14"/>
      <c r="E54" s="14"/>
      <c r="F54" s="14"/>
      <c r="G54" s="15">
        <f t="shared" si="11"/>
        <v>68</v>
      </c>
    </row>
    <row r="55">
      <c r="A55" s="13" t="s">
        <v>69</v>
      </c>
      <c r="B55" s="14"/>
      <c r="C55" s="14"/>
      <c r="D55" s="14"/>
      <c r="E55" s="14"/>
      <c r="F55" s="14"/>
      <c r="G55" s="15">
        <f t="shared" si="11"/>
        <v>0</v>
      </c>
    </row>
    <row r="56">
      <c r="A56" s="13" t="s">
        <v>70</v>
      </c>
      <c r="B56" s="15">
        <f>680.75</f>
        <v>680.75</v>
      </c>
      <c r="C56" s="14"/>
      <c r="D56" s="14"/>
      <c r="E56" s="14"/>
      <c r="F56" s="14"/>
      <c r="G56" s="15">
        <f t="shared" si="11"/>
        <v>680.75</v>
      </c>
    </row>
    <row r="57">
      <c r="A57" s="13" t="s">
        <v>72</v>
      </c>
      <c r="B57" s="17">
        <f t="shared" ref="B57:F57" si="13">(B55)+(B56)</f>
        <v>680.75</v>
      </c>
      <c r="C57" s="17">
        <f t="shared" si="13"/>
        <v>0</v>
      </c>
      <c r="D57" s="17">
        <f t="shared" si="13"/>
        <v>0</v>
      </c>
      <c r="E57" s="17">
        <f t="shared" si="13"/>
        <v>0</v>
      </c>
      <c r="F57" s="17">
        <f t="shared" si="13"/>
        <v>0</v>
      </c>
      <c r="G57" s="17">
        <f t="shared" si="11"/>
        <v>680.75</v>
      </c>
    </row>
    <row r="58">
      <c r="A58" s="13" t="s">
        <v>73</v>
      </c>
      <c r="B58" s="15">
        <f>340</f>
        <v>340</v>
      </c>
      <c r="C58" s="14"/>
      <c r="D58" s="14"/>
      <c r="E58" s="14"/>
      <c r="F58" s="14"/>
      <c r="G58" s="15">
        <f t="shared" si="11"/>
        <v>340</v>
      </c>
    </row>
    <row r="59">
      <c r="A59" s="13" t="s">
        <v>74</v>
      </c>
      <c r="B59" s="17">
        <f t="shared" ref="B59:F59" si="14">((((((((((((B41)+(B45))+(B46))+(B47))+(B48))+(B49))+(B50))+(B51))+(B52))+(B53))+(B54))+(B57))+(B58)</f>
        <v>16228.03</v>
      </c>
      <c r="C59" s="17">
        <f t="shared" si="14"/>
        <v>1286.25</v>
      </c>
      <c r="D59" s="17">
        <f t="shared" si="14"/>
        <v>0</v>
      </c>
      <c r="E59" s="17">
        <f t="shared" si="14"/>
        <v>0</v>
      </c>
      <c r="F59" s="17">
        <f t="shared" si="14"/>
        <v>0</v>
      </c>
      <c r="G59" s="17">
        <f t="shared" si="11"/>
        <v>17514.28</v>
      </c>
    </row>
    <row r="60">
      <c r="A60" s="13" t="s">
        <v>75</v>
      </c>
      <c r="B60" s="15">
        <f>188.73</f>
        <v>188.73</v>
      </c>
      <c r="C60" s="14"/>
      <c r="D60" s="14"/>
      <c r="E60" s="14"/>
      <c r="F60" s="14"/>
      <c r="G60" s="15">
        <f t="shared" si="11"/>
        <v>188.73</v>
      </c>
    </row>
    <row r="61">
      <c r="A61" s="13" t="s">
        <v>76</v>
      </c>
      <c r="B61" s="14"/>
      <c r="C61" s="14"/>
      <c r="D61" s="14"/>
      <c r="E61" s="14"/>
      <c r="F61" s="14"/>
      <c r="G61" s="15">
        <f t="shared" si="11"/>
        <v>0</v>
      </c>
    </row>
    <row r="62">
      <c r="A62" s="13" t="s">
        <v>97</v>
      </c>
      <c r="B62" s="14"/>
      <c r="C62" s="14"/>
      <c r="D62" s="14"/>
      <c r="E62" s="15">
        <f>12291.89</f>
        <v>12291.89</v>
      </c>
      <c r="F62" s="14"/>
      <c r="G62" s="15">
        <f t="shared" si="11"/>
        <v>12291.89</v>
      </c>
    </row>
    <row r="63">
      <c r="A63" s="13" t="s">
        <v>98</v>
      </c>
      <c r="B63" s="14"/>
      <c r="C63" s="14"/>
      <c r="D63" s="14"/>
      <c r="E63" s="14"/>
      <c r="F63" s="14"/>
      <c r="G63" s="15">
        <f t="shared" si="11"/>
        <v>0</v>
      </c>
    </row>
    <row r="64">
      <c r="A64" s="13" t="s">
        <v>99</v>
      </c>
      <c r="B64" s="14"/>
      <c r="C64" s="15">
        <f>22415.65</f>
        <v>22415.65</v>
      </c>
      <c r="D64" s="14"/>
      <c r="E64" s="15">
        <f>4039.14</f>
        <v>4039.14</v>
      </c>
      <c r="F64" s="14"/>
      <c r="G64" s="15">
        <f t="shared" si="11"/>
        <v>26454.79</v>
      </c>
    </row>
    <row r="65">
      <c r="A65" s="13" t="s">
        <v>101</v>
      </c>
      <c r="B65" s="14"/>
      <c r="C65" s="14"/>
      <c r="D65" s="14"/>
      <c r="E65" s="14"/>
      <c r="F65" s="14"/>
      <c r="G65" s="15">
        <f t="shared" si="11"/>
        <v>0</v>
      </c>
    </row>
    <row r="66">
      <c r="A66" s="13" t="s">
        <v>241</v>
      </c>
      <c r="B66" s="14"/>
      <c r="C66" s="14"/>
      <c r="D66" s="14"/>
      <c r="E66" s="15">
        <f>497.45</f>
        <v>497.45</v>
      </c>
      <c r="F66" s="14"/>
      <c r="G66" s="15">
        <f t="shared" si="11"/>
        <v>497.45</v>
      </c>
    </row>
    <row r="67">
      <c r="A67" s="13" t="s">
        <v>104</v>
      </c>
      <c r="B67" s="14"/>
      <c r="C67" s="14"/>
      <c r="D67" s="14"/>
      <c r="E67" s="15">
        <f>74.52</f>
        <v>74.52</v>
      </c>
      <c r="F67" s="14"/>
      <c r="G67" s="15">
        <f t="shared" si="11"/>
        <v>74.52</v>
      </c>
    </row>
    <row r="68">
      <c r="A68" s="13" t="s">
        <v>105</v>
      </c>
      <c r="B68" s="17">
        <f t="shared" ref="B68:F68" si="15">((B65)+(B66))+(B67)</f>
        <v>0</v>
      </c>
      <c r="C68" s="17">
        <f t="shared" si="15"/>
        <v>0</v>
      </c>
      <c r="D68" s="17">
        <f t="shared" si="15"/>
        <v>0</v>
      </c>
      <c r="E68" s="17">
        <f t="shared" si="15"/>
        <v>571.97</v>
      </c>
      <c r="F68" s="17">
        <f t="shared" si="15"/>
        <v>0</v>
      </c>
      <c r="G68" s="17">
        <f t="shared" si="11"/>
        <v>571.97</v>
      </c>
    </row>
    <row r="69">
      <c r="A69" s="13" t="s">
        <v>106</v>
      </c>
      <c r="B69" s="14"/>
      <c r="C69" s="14"/>
      <c r="D69" s="14"/>
      <c r="E69" s="15">
        <f>55</f>
        <v>55</v>
      </c>
      <c r="F69" s="14"/>
      <c r="G69" s="15">
        <f t="shared" si="11"/>
        <v>55</v>
      </c>
    </row>
    <row r="70">
      <c r="A70" s="13" t="s">
        <v>107</v>
      </c>
      <c r="B70" s="14"/>
      <c r="C70" s="14"/>
      <c r="D70" s="14"/>
      <c r="E70" s="15">
        <f>4378.09</f>
        <v>4378.09</v>
      </c>
      <c r="F70" s="14"/>
      <c r="G70" s="15">
        <f t="shared" si="11"/>
        <v>4378.09</v>
      </c>
    </row>
    <row r="71">
      <c r="A71" s="13" t="s">
        <v>108</v>
      </c>
      <c r="B71" s="14"/>
      <c r="C71" s="14"/>
      <c r="D71" s="14"/>
      <c r="E71" s="15">
        <f>506.25</f>
        <v>506.25</v>
      </c>
      <c r="F71" s="14"/>
      <c r="G71" s="15">
        <f t="shared" si="11"/>
        <v>506.25</v>
      </c>
    </row>
    <row r="72">
      <c r="A72" s="13" t="s">
        <v>109</v>
      </c>
      <c r="B72" s="14"/>
      <c r="C72" s="15">
        <f>519.4</f>
        <v>519.4</v>
      </c>
      <c r="D72" s="14"/>
      <c r="E72" s="15">
        <f>321.3</f>
        <v>321.3</v>
      </c>
      <c r="F72" s="14"/>
      <c r="G72" s="15">
        <f t="shared" si="11"/>
        <v>840.7</v>
      </c>
    </row>
    <row r="73">
      <c r="A73" s="13" t="s">
        <v>110</v>
      </c>
      <c r="B73" s="17">
        <f t="shared" ref="B73:F73" si="16">((((((B63)+(B64))+(B68))+(B69))+(B70))+(B71))+(B72)</f>
        <v>0</v>
      </c>
      <c r="C73" s="17">
        <f t="shared" si="16"/>
        <v>22935.05</v>
      </c>
      <c r="D73" s="17">
        <f t="shared" si="16"/>
        <v>0</v>
      </c>
      <c r="E73" s="17">
        <f t="shared" si="16"/>
        <v>9871.75</v>
      </c>
      <c r="F73" s="17">
        <f t="shared" si="16"/>
        <v>0</v>
      </c>
      <c r="G73" s="17">
        <f t="shared" si="11"/>
        <v>32806.8</v>
      </c>
    </row>
    <row r="74">
      <c r="A74" s="13" t="s">
        <v>111</v>
      </c>
      <c r="B74" s="14"/>
      <c r="C74" s="14"/>
      <c r="D74" s="14"/>
      <c r="E74" s="15">
        <f>27.93</f>
        <v>27.93</v>
      </c>
      <c r="F74" s="14"/>
      <c r="G74" s="15">
        <f t="shared" si="11"/>
        <v>27.93</v>
      </c>
    </row>
    <row r="75">
      <c r="A75" s="13" t="s">
        <v>112</v>
      </c>
      <c r="B75" s="17">
        <f t="shared" ref="B75:F75" si="17">((B62)+(B73))+(B74)</f>
        <v>0</v>
      </c>
      <c r="C75" s="17">
        <f t="shared" si="17"/>
        <v>22935.05</v>
      </c>
      <c r="D75" s="17">
        <f t="shared" si="17"/>
        <v>0</v>
      </c>
      <c r="E75" s="17">
        <f t="shared" si="17"/>
        <v>22191.57</v>
      </c>
      <c r="F75" s="17">
        <f t="shared" si="17"/>
        <v>0</v>
      </c>
      <c r="G75" s="17">
        <f t="shared" si="11"/>
        <v>45126.62</v>
      </c>
    </row>
    <row r="76">
      <c r="A76" s="13" t="s">
        <v>113</v>
      </c>
      <c r="B76" s="17">
        <f t="shared" ref="B76:F76" si="18">(B61)+(B75)</f>
        <v>0</v>
      </c>
      <c r="C76" s="17">
        <f t="shared" si="18"/>
        <v>22935.05</v>
      </c>
      <c r="D76" s="17">
        <f t="shared" si="18"/>
        <v>0</v>
      </c>
      <c r="E76" s="17">
        <f t="shared" si="18"/>
        <v>22191.57</v>
      </c>
      <c r="F76" s="17">
        <f t="shared" si="18"/>
        <v>0</v>
      </c>
      <c r="G76" s="17">
        <f t="shared" si="11"/>
        <v>45126.62</v>
      </c>
    </row>
    <row r="77">
      <c r="A77" s="13" t="s">
        <v>114</v>
      </c>
      <c r="B77" s="17">
        <f t="shared" ref="B77:F77" si="19">((B59)+(B60))+(B76)</f>
        <v>16416.76</v>
      </c>
      <c r="C77" s="17">
        <f t="shared" si="19"/>
        <v>24221.3</v>
      </c>
      <c r="D77" s="17">
        <f t="shared" si="19"/>
        <v>0</v>
      </c>
      <c r="E77" s="17">
        <f t="shared" si="19"/>
        <v>22191.57</v>
      </c>
      <c r="F77" s="17">
        <f t="shared" si="19"/>
        <v>0</v>
      </c>
      <c r="G77" s="17">
        <f t="shared" si="11"/>
        <v>62829.63</v>
      </c>
    </row>
    <row r="78">
      <c r="A78" s="13" t="s">
        <v>115</v>
      </c>
      <c r="B78" s="20">
        <f t="shared" ref="B78:F78" si="20">(B39)-(B77)</f>
        <v>-15520.22</v>
      </c>
      <c r="C78" s="20">
        <f t="shared" si="20"/>
        <v>-6655.99</v>
      </c>
      <c r="D78" s="17">
        <f t="shared" si="20"/>
        <v>119958.48</v>
      </c>
      <c r="E78" s="17">
        <f t="shared" si="20"/>
        <v>3706.79</v>
      </c>
      <c r="F78" s="17">
        <f t="shared" si="20"/>
        <v>0</v>
      </c>
      <c r="G78" s="17">
        <f t="shared" si="11"/>
        <v>101489.06</v>
      </c>
    </row>
    <row r="79">
      <c r="A79" s="13" t="s">
        <v>4</v>
      </c>
      <c r="B79" s="20">
        <f t="shared" ref="B79:F79" si="21">(B78)+(0)</f>
        <v>-15520.22</v>
      </c>
      <c r="C79" s="20">
        <f t="shared" si="21"/>
        <v>-6655.99</v>
      </c>
      <c r="D79" s="17">
        <f t="shared" si="21"/>
        <v>119958.48</v>
      </c>
      <c r="E79" s="17">
        <f t="shared" si="21"/>
        <v>3706.79</v>
      </c>
      <c r="F79" s="17">
        <f t="shared" si="21"/>
        <v>0</v>
      </c>
      <c r="G79" s="17">
        <f t="shared" si="11"/>
        <v>101489.06</v>
      </c>
    </row>
    <row r="80">
      <c r="A80" s="13"/>
      <c r="B80" s="14"/>
      <c r="C80" s="14"/>
      <c r="D80" s="14"/>
      <c r="E80" s="14"/>
      <c r="F80" s="14"/>
      <c r="G80" s="14"/>
    </row>
    <row r="81"/>
    <row r="82"/>
    <row r="83">
      <c r="A83" s="19" t="s">
        <v>273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83:G8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8" width="12.0"/>
    <col customWidth="1" min="9" max="26" width="7.63"/>
  </cols>
  <sheetData>
    <row r="1">
      <c r="A1" s="8" t="s">
        <v>6</v>
      </c>
    </row>
    <row r="2">
      <c r="A2" s="8" t="s">
        <v>117</v>
      </c>
    </row>
    <row r="3">
      <c r="A3" s="9" t="s">
        <v>8</v>
      </c>
    </row>
    <row r="5">
      <c r="A5" s="10"/>
      <c r="B5" s="11" t="s">
        <v>118</v>
      </c>
      <c r="C5" s="11" t="s">
        <v>119</v>
      </c>
      <c r="D5" s="11" t="s">
        <v>120</v>
      </c>
      <c r="E5" s="11" t="s">
        <v>121</v>
      </c>
      <c r="F5" s="11" t="s">
        <v>122</v>
      </c>
      <c r="G5" s="11" t="s">
        <v>123</v>
      </c>
      <c r="H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</row>
    <row r="7">
      <c r="A7" s="13" t="s">
        <v>15</v>
      </c>
      <c r="B7" s="15">
        <f>49990</f>
        <v>49990</v>
      </c>
      <c r="C7" s="14"/>
      <c r="D7" s="14"/>
      <c r="E7" s="14"/>
      <c r="F7" s="14"/>
      <c r="G7" s="14"/>
      <c r="H7" s="15">
        <f t="shared" ref="H7:H39" si="1">(((((B7)+(C7))+(D7))+(E7))+(F7))+(G7)</f>
        <v>49990</v>
      </c>
    </row>
    <row r="8">
      <c r="A8" s="13" t="s">
        <v>16</v>
      </c>
      <c r="B8" s="14"/>
      <c r="C8" s="14"/>
      <c r="D8" s="14"/>
      <c r="E8" s="14"/>
      <c r="F8" s="14"/>
      <c r="G8" s="14"/>
      <c r="H8" s="15">
        <f t="shared" si="1"/>
        <v>0</v>
      </c>
    </row>
    <row r="9">
      <c r="A9" s="13" t="s">
        <v>17</v>
      </c>
      <c r="B9" s="14"/>
      <c r="C9" s="15">
        <f>-896.54</f>
        <v>-896.54</v>
      </c>
      <c r="D9" s="14"/>
      <c r="E9" s="14"/>
      <c r="F9" s="14"/>
      <c r="G9" s="14"/>
      <c r="H9" s="15">
        <f t="shared" si="1"/>
        <v>-896.54</v>
      </c>
    </row>
    <row r="10">
      <c r="A10" s="13" t="s">
        <v>18</v>
      </c>
      <c r="B10" s="17">
        <f t="shared" ref="B10:G10" si="2">(B8)+(B9)</f>
        <v>0</v>
      </c>
      <c r="C10" s="17">
        <f t="shared" si="2"/>
        <v>-896.54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si="1"/>
        <v>-896.54</v>
      </c>
    </row>
    <row r="11">
      <c r="A11" s="13" t="s">
        <v>19</v>
      </c>
      <c r="B11" s="14"/>
      <c r="C11" s="14"/>
      <c r="D11" s="14"/>
      <c r="E11" s="14"/>
      <c r="F11" s="14"/>
      <c r="G11" s="14"/>
      <c r="H11" s="15">
        <f t="shared" si="1"/>
        <v>0</v>
      </c>
    </row>
    <row r="12">
      <c r="A12" s="13" t="s">
        <v>20</v>
      </c>
      <c r="B12" s="14"/>
      <c r="C12" s="14"/>
      <c r="D12" s="14"/>
      <c r="E12" s="14"/>
      <c r="F12" s="14"/>
      <c r="G12" s="15">
        <f>0</f>
        <v>0</v>
      </c>
      <c r="H12" s="15">
        <f t="shared" si="1"/>
        <v>0</v>
      </c>
    </row>
    <row r="13">
      <c r="A13" s="13" t="s">
        <v>21</v>
      </c>
      <c r="B13" s="17">
        <f t="shared" ref="B13:G13" si="3">(B11)+(B12)</f>
        <v>0</v>
      </c>
      <c r="C13" s="17">
        <f t="shared" si="3"/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3"/>
        <v>0</v>
      </c>
      <c r="H13" s="17">
        <f t="shared" si="1"/>
        <v>0</v>
      </c>
    </row>
    <row r="14">
      <c r="A14" s="13" t="s">
        <v>22</v>
      </c>
      <c r="B14" s="14"/>
      <c r="C14" s="14"/>
      <c r="D14" s="14"/>
      <c r="E14" s="14"/>
      <c r="F14" s="14"/>
      <c r="G14" s="14"/>
      <c r="H14" s="15">
        <f t="shared" si="1"/>
        <v>0</v>
      </c>
    </row>
    <row r="15">
      <c r="A15" s="13" t="s">
        <v>25</v>
      </c>
      <c r="B15" s="14"/>
      <c r="C15" s="14"/>
      <c r="D15" s="14"/>
      <c r="E15" s="15">
        <f t="shared" ref="E15:E16" si="4">2577.08</f>
        <v>2577.08</v>
      </c>
      <c r="F15" s="14"/>
      <c r="G15" s="14"/>
      <c r="H15" s="15">
        <f t="shared" si="1"/>
        <v>2577.08</v>
      </c>
    </row>
    <row r="16">
      <c r="A16" s="13" t="s">
        <v>26</v>
      </c>
      <c r="B16" s="14"/>
      <c r="C16" s="14"/>
      <c r="D16" s="14"/>
      <c r="E16" s="15">
        <f t="shared" si="4"/>
        <v>2577.08</v>
      </c>
      <c r="F16" s="14"/>
      <c r="G16" s="14"/>
      <c r="H16" s="15">
        <f t="shared" si="1"/>
        <v>2577.08</v>
      </c>
    </row>
    <row r="17">
      <c r="A17" s="13" t="s">
        <v>27</v>
      </c>
      <c r="B17" s="14"/>
      <c r="C17" s="14"/>
      <c r="D17" s="14"/>
      <c r="E17" s="15">
        <f>33266.72</f>
        <v>33266.72</v>
      </c>
      <c r="F17" s="14"/>
      <c r="G17" s="14"/>
      <c r="H17" s="15">
        <f t="shared" si="1"/>
        <v>33266.72</v>
      </c>
    </row>
    <row r="18">
      <c r="A18" s="13" t="s">
        <v>28</v>
      </c>
      <c r="B18" s="14"/>
      <c r="C18" s="14"/>
      <c r="D18" s="14"/>
      <c r="E18" s="15">
        <f>2586.08</f>
        <v>2586.08</v>
      </c>
      <c r="F18" s="14"/>
      <c r="G18" s="14"/>
      <c r="H18" s="15">
        <f t="shared" si="1"/>
        <v>2586.08</v>
      </c>
    </row>
    <row r="19">
      <c r="A19" s="13" t="s">
        <v>29</v>
      </c>
      <c r="B19" s="14"/>
      <c r="C19" s="14"/>
      <c r="D19" s="14"/>
      <c r="E19" s="15">
        <f>2573.85</f>
        <v>2573.85</v>
      </c>
      <c r="F19" s="14"/>
      <c r="G19" s="14"/>
      <c r="H19" s="15">
        <f t="shared" si="1"/>
        <v>2573.85</v>
      </c>
    </row>
    <row r="20">
      <c r="A20" s="13" t="s">
        <v>31</v>
      </c>
      <c r="B20" s="14"/>
      <c r="C20" s="14"/>
      <c r="D20" s="14"/>
      <c r="E20" s="15">
        <f>2576.08</f>
        <v>2576.08</v>
      </c>
      <c r="F20" s="14"/>
      <c r="G20" s="14"/>
      <c r="H20" s="15">
        <f t="shared" si="1"/>
        <v>2576.08</v>
      </c>
    </row>
    <row r="21">
      <c r="A21" s="13" t="s">
        <v>32</v>
      </c>
      <c r="B21" s="14"/>
      <c r="C21" s="14"/>
      <c r="D21" s="14"/>
      <c r="E21" s="15">
        <f>15000</f>
        <v>15000</v>
      </c>
      <c r="F21" s="14"/>
      <c r="G21" s="14"/>
      <c r="H21" s="15">
        <f t="shared" si="1"/>
        <v>15000</v>
      </c>
    </row>
    <row r="22">
      <c r="A22" s="13" t="s">
        <v>33</v>
      </c>
      <c r="B22" s="14"/>
      <c r="C22" s="14"/>
      <c r="D22" s="14"/>
      <c r="E22" s="15">
        <f>7224.94</f>
        <v>7224.94</v>
      </c>
      <c r="F22" s="14"/>
      <c r="G22" s="14"/>
      <c r="H22" s="15">
        <f t="shared" si="1"/>
        <v>7224.94</v>
      </c>
    </row>
    <row r="23">
      <c r="A23" s="13" t="s">
        <v>34</v>
      </c>
      <c r="B23" s="14"/>
      <c r="C23" s="14"/>
      <c r="D23" s="14"/>
      <c r="E23" s="15">
        <f t="shared" ref="E23:E24" si="5">9738.23</f>
        <v>9738.23</v>
      </c>
      <c r="F23" s="14"/>
      <c r="G23" s="14"/>
      <c r="H23" s="15">
        <f t="shared" si="1"/>
        <v>9738.23</v>
      </c>
    </row>
    <row r="24">
      <c r="A24" s="13" t="s">
        <v>35</v>
      </c>
      <c r="B24" s="14"/>
      <c r="C24" s="14"/>
      <c r="D24" s="14"/>
      <c r="E24" s="15">
        <f t="shared" si="5"/>
        <v>9738.23</v>
      </c>
      <c r="F24" s="14"/>
      <c r="G24" s="14"/>
      <c r="H24" s="15">
        <f t="shared" si="1"/>
        <v>9738.23</v>
      </c>
    </row>
    <row r="25">
      <c r="A25" s="13" t="s">
        <v>36</v>
      </c>
      <c r="B25" s="14"/>
      <c r="C25" s="14"/>
      <c r="D25" s="14"/>
      <c r="E25" s="15">
        <f>18839.93</f>
        <v>18839.93</v>
      </c>
      <c r="F25" s="14"/>
      <c r="G25" s="14"/>
      <c r="H25" s="15">
        <f t="shared" si="1"/>
        <v>18839.93</v>
      </c>
    </row>
    <row r="26">
      <c r="A26" s="13" t="s">
        <v>37</v>
      </c>
      <c r="B26" s="14"/>
      <c r="C26" s="14"/>
      <c r="D26" s="14"/>
      <c r="E26" s="15">
        <f>4876.41</f>
        <v>4876.41</v>
      </c>
      <c r="F26" s="14"/>
      <c r="G26" s="14"/>
      <c r="H26" s="15">
        <f t="shared" si="1"/>
        <v>4876.41</v>
      </c>
    </row>
    <row r="27">
      <c r="A27" s="13" t="s">
        <v>38</v>
      </c>
      <c r="B27" s="14"/>
      <c r="C27" s="14"/>
      <c r="D27" s="14"/>
      <c r="E27" s="15">
        <f>4874.4</f>
        <v>4874.4</v>
      </c>
      <c r="F27" s="14"/>
      <c r="G27" s="14"/>
      <c r="H27" s="15">
        <f t="shared" si="1"/>
        <v>4874.4</v>
      </c>
    </row>
    <row r="28">
      <c r="A28" s="13" t="s">
        <v>39</v>
      </c>
      <c r="B28" s="14"/>
      <c r="C28" s="14"/>
      <c r="D28" s="14"/>
      <c r="E28" s="15">
        <f>2577.08</f>
        <v>2577.08</v>
      </c>
      <c r="F28" s="14"/>
      <c r="G28" s="14"/>
      <c r="H28" s="15">
        <f t="shared" si="1"/>
        <v>2577.08</v>
      </c>
    </row>
    <row r="29">
      <c r="A29" s="13" t="s">
        <v>40</v>
      </c>
      <c r="B29" s="17">
        <f t="shared" ref="B29:G29" si="6">((((((((((((((B14)+(B15))+(B16))+(B17))+(B18))+(B19))+(B20))+(B21))+(B22))+(B23))+(B24))+(B25))+(B26))+(B27))+(B28)</f>
        <v>0</v>
      </c>
      <c r="C29" s="17">
        <f t="shared" si="6"/>
        <v>0</v>
      </c>
      <c r="D29" s="17">
        <f t="shared" si="6"/>
        <v>0</v>
      </c>
      <c r="E29" s="17">
        <f t="shared" si="6"/>
        <v>119026.11</v>
      </c>
      <c r="F29" s="17">
        <f t="shared" si="6"/>
        <v>0</v>
      </c>
      <c r="G29" s="17">
        <f t="shared" si="6"/>
        <v>0</v>
      </c>
      <c r="H29" s="17">
        <f t="shared" si="1"/>
        <v>119026.11</v>
      </c>
    </row>
    <row r="30">
      <c r="A30" s="13" t="s">
        <v>41</v>
      </c>
      <c r="B30" s="14"/>
      <c r="C30" s="14"/>
      <c r="D30" s="14"/>
      <c r="E30" s="14"/>
      <c r="F30" s="14"/>
      <c r="G30" s="14"/>
      <c r="H30" s="15">
        <f t="shared" si="1"/>
        <v>0</v>
      </c>
    </row>
    <row r="31">
      <c r="A31" s="13" t="s">
        <v>42</v>
      </c>
      <c r="B31" s="14"/>
      <c r="C31" s="14"/>
      <c r="D31" s="15">
        <f>5441.28</f>
        <v>5441.28</v>
      </c>
      <c r="E31" s="14"/>
      <c r="F31" s="14"/>
      <c r="G31" s="14"/>
      <c r="H31" s="15">
        <f t="shared" si="1"/>
        <v>5441.28</v>
      </c>
    </row>
    <row r="32">
      <c r="A32" s="13" t="s">
        <v>43</v>
      </c>
      <c r="B32" s="14"/>
      <c r="C32" s="14"/>
      <c r="D32" s="15">
        <f>27155.12</f>
        <v>27155.12</v>
      </c>
      <c r="E32" s="14"/>
      <c r="F32" s="14"/>
      <c r="G32" s="14"/>
      <c r="H32" s="15">
        <f t="shared" si="1"/>
        <v>27155.12</v>
      </c>
    </row>
    <row r="33">
      <c r="A33" s="13" t="s">
        <v>44</v>
      </c>
      <c r="B33" s="14"/>
      <c r="C33" s="14"/>
      <c r="D33" s="14"/>
      <c r="E33" s="14"/>
      <c r="F33" s="15">
        <f>25898.36</f>
        <v>25898.36</v>
      </c>
      <c r="G33" s="14"/>
      <c r="H33" s="15">
        <f t="shared" si="1"/>
        <v>25898.36</v>
      </c>
    </row>
    <row r="34">
      <c r="A34" s="13" t="s">
        <v>46</v>
      </c>
      <c r="B34" s="14"/>
      <c r="C34" s="14"/>
      <c r="D34" s="15">
        <f>3160.98</f>
        <v>3160.98</v>
      </c>
      <c r="E34" s="14"/>
      <c r="F34" s="14"/>
      <c r="G34" s="14"/>
      <c r="H34" s="15">
        <f t="shared" si="1"/>
        <v>3160.98</v>
      </c>
    </row>
    <row r="35">
      <c r="A35" s="13" t="s">
        <v>47</v>
      </c>
      <c r="B35" s="14"/>
      <c r="C35" s="14"/>
      <c r="D35" s="15">
        <f>898.71</f>
        <v>898.71</v>
      </c>
      <c r="E35" s="14"/>
      <c r="F35" s="14"/>
      <c r="G35" s="14"/>
      <c r="H35" s="15">
        <f t="shared" si="1"/>
        <v>898.71</v>
      </c>
    </row>
    <row r="36">
      <c r="A36" s="13" t="s">
        <v>48</v>
      </c>
      <c r="B36" s="17">
        <f t="shared" ref="B36:G36" si="7">(((B32)+(B33))+(B34))+(B35)</f>
        <v>0</v>
      </c>
      <c r="C36" s="17">
        <f t="shared" si="7"/>
        <v>0</v>
      </c>
      <c r="D36" s="17">
        <f t="shared" si="7"/>
        <v>31214.81</v>
      </c>
      <c r="E36" s="17">
        <f t="shared" si="7"/>
        <v>0</v>
      </c>
      <c r="F36" s="17">
        <f t="shared" si="7"/>
        <v>25898.36</v>
      </c>
      <c r="G36" s="17">
        <f t="shared" si="7"/>
        <v>0</v>
      </c>
      <c r="H36" s="17">
        <f t="shared" si="1"/>
        <v>57113.17</v>
      </c>
    </row>
    <row r="37">
      <c r="A37" s="13" t="s">
        <v>49</v>
      </c>
      <c r="B37" s="17">
        <f t="shared" ref="B37:G37" si="8">((B30)+(B31))+(B36)</f>
        <v>0</v>
      </c>
      <c r="C37" s="17">
        <f t="shared" si="8"/>
        <v>0</v>
      </c>
      <c r="D37" s="17">
        <f t="shared" si="8"/>
        <v>36656.09</v>
      </c>
      <c r="E37" s="17">
        <f t="shared" si="8"/>
        <v>0</v>
      </c>
      <c r="F37" s="17">
        <f t="shared" si="8"/>
        <v>25898.36</v>
      </c>
      <c r="G37" s="17">
        <f t="shared" si="8"/>
        <v>0</v>
      </c>
      <c r="H37" s="17">
        <f t="shared" si="1"/>
        <v>62554.45</v>
      </c>
    </row>
    <row r="38">
      <c r="A38" s="13" t="s">
        <v>2</v>
      </c>
      <c r="B38" s="17">
        <f t="shared" ref="B38:G38" si="9">((((B7)+(B10))+(B13))+(B29))+(B37)</f>
        <v>49990</v>
      </c>
      <c r="C38" s="17">
        <f t="shared" si="9"/>
        <v>-896.54</v>
      </c>
      <c r="D38" s="17">
        <f t="shared" si="9"/>
        <v>36656.09</v>
      </c>
      <c r="E38" s="17">
        <f t="shared" si="9"/>
        <v>119026.11</v>
      </c>
      <c r="F38" s="17">
        <f t="shared" si="9"/>
        <v>25898.36</v>
      </c>
      <c r="G38" s="17">
        <f t="shared" si="9"/>
        <v>0</v>
      </c>
      <c r="H38" s="17">
        <f t="shared" si="1"/>
        <v>230674.02</v>
      </c>
    </row>
    <row r="39">
      <c r="A39" s="13" t="s">
        <v>50</v>
      </c>
      <c r="B39" s="17">
        <f t="shared" ref="B39:G39" si="10">(B38)-(0)</f>
        <v>49990</v>
      </c>
      <c r="C39" s="17">
        <f t="shared" si="10"/>
        <v>-896.54</v>
      </c>
      <c r="D39" s="17">
        <f t="shared" si="10"/>
        <v>36656.09</v>
      </c>
      <c r="E39" s="17">
        <f t="shared" si="10"/>
        <v>119026.11</v>
      </c>
      <c r="F39" s="17">
        <f t="shared" si="10"/>
        <v>25898.36</v>
      </c>
      <c r="G39" s="17">
        <f t="shared" si="10"/>
        <v>0</v>
      </c>
      <c r="H39" s="17">
        <f t="shared" si="1"/>
        <v>230674.02</v>
      </c>
    </row>
    <row r="40">
      <c r="A40" s="13" t="s">
        <v>51</v>
      </c>
      <c r="B40" s="14"/>
      <c r="C40" s="14"/>
      <c r="D40" s="14"/>
      <c r="E40" s="14"/>
      <c r="F40" s="14"/>
      <c r="G40" s="14"/>
      <c r="H40" s="14"/>
    </row>
    <row r="41">
      <c r="A41" s="13" t="s">
        <v>52</v>
      </c>
      <c r="B41" s="14"/>
      <c r="C41" s="14"/>
      <c r="D41" s="14"/>
      <c r="E41" s="14"/>
      <c r="F41" s="14"/>
      <c r="G41" s="14"/>
      <c r="H41" s="15">
        <f t="shared" ref="H41:H90" si="11">(((((B41)+(C41))+(D41))+(E41))+(F41))+(G41)</f>
        <v>0</v>
      </c>
    </row>
    <row r="42">
      <c r="A42" s="13" t="s">
        <v>53</v>
      </c>
      <c r="B42" s="14"/>
      <c r="C42" s="14"/>
      <c r="D42" s="14"/>
      <c r="E42" s="14"/>
      <c r="F42" s="14"/>
      <c r="G42" s="14"/>
      <c r="H42" s="15">
        <f t="shared" si="11"/>
        <v>0</v>
      </c>
    </row>
    <row r="43">
      <c r="A43" s="13" t="s">
        <v>54</v>
      </c>
      <c r="B43" s="14"/>
      <c r="C43" s="15">
        <f>3000</f>
        <v>3000</v>
      </c>
      <c r="D43" s="14"/>
      <c r="E43" s="14"/>
      <c r="F43" s="14"/>
      <c r="G43" s="14"/>
      <c r="H43" s="15">
        <f t="shared" si="11"/>
        <v>3000</v>
      </c>
    </row>
    <row r="44">
      <c r="A44" s="13" t="s">
        <v>55</v>
      </c>
      <c r="B44" s="14"/>
      <c r="C44" s="15">
        <f>6893.25</f>
        <v>6893.25</v>
      </c>
      <c r="D44" s="15">
        <f>991.25</f>
        <v>991.25</v>
      </c>
      <c r="E44" s="14"/>
      <c r="F44" s="14"/>
      <c r="G44" s="14"/>
      <c r="H44" s="15">
        <f t="shared" si="11"/>
        <v>7884.5</v>
      </c>
    </row>
    <row r="45">
      <c r="A45" s="13" t="s">
        <v>56</v>
      </c>
      <c r="B45" s="17">
        <f t="shared" ref="B45:G45" si="12">((B42)+(B43))+(B44)</f>
        <v>0</v>
      </c>
      <c r="C45" s="17">
        <f t="shared" si="12"/>
        <v>9893.25</v>
      </c>
      <c r="D45" s="17">
        <f t="shared" si="12"/>
        <v>991.25</v>
      </c>
      <c r="E45" s="17">
        <f t="shared" si="12"/>
        <v>0</v>
      </c>
      <c r="F45" s="17">
        <f t="shared" si="12"/>
        <v>0</v>
      </c>
      <c r="G45" s="17">
        <f t="shared" si="12"/>
        <v>0</v>
      </c>
      <c r="H45" s="17">
        <f t="shared" si="11"/>
        <v>10884.5</v>
      </c>
    </row>
    <row r="46">
      <c r="A46" s="13" t="s">
        <v>57</v>
      </c>
      <c r="B46" s="14"/>
      <c r="C46" s="15">
        <f>165</f>
        <v>165</v>
      </c>
      <c r="D46" s="14"/>
      <c r="E46" s="14"/>
      <c r="F46" s="14"/>
      <c r="G46" s="14"/>
      <c r="H46" s="15">
        <f t="shared" si="11"/>
        <v>165</v>
      </c>
    </row>
    <row r="47">
      <c r="A47" s="13" t="s">
        <v>58</v>
      </c>
      <c r="B47" s="14"/>
      <c r="C47" s="14"/>
      <c r="D47" s="14"/>
      <c r="E47" s="15">
        <f>0</f>
        <v>0</v>
      </c>
      <c r="F47" s="14"/>
      <c r="G47" s="14"/>
      <c r="H47" s="15">
        <f t="shared" si="11"/>
        <v>0</v>
      </c>
    </row>
    <row r="48">
      <c r="A48" s="13" t="s">
        <v>60</v>
      </c>
      <c r="B48" s="14"/>
      <c r="C48" s="15">
        <f>409.89</f>
        <v>409.89</v>
      </c>
      <c r="D48" s="14"/>
      <c r="E48" s="14"/>
      <c r="F48" s="14"/>
      <c r="G48" s="14"/>
      <c r="H48" s="15">
        <f t="shared" si="11"/>
        <v>409.89</v>
      </c>
    </row>
    <row r="49">
      <c r="A49" s="13" t="s">
        <v>61</v>
      </c>
      <c r="B49" s="14"/>
      <c r="C49" s="15">
        <f>3328.32</f>
        <v>3328.32</v>
      </c>
      <c r="D49" s="14"/>
      <c r="E49" s="14"/>
      <c r="F49" s="14"/>
      <c r="G49" s="14"/>
      <c r="H49" s="15">
        <f t="shared" si="11"/>
        <v>3328.32</v>
      </c>
    </row>
    <row r="50">
      <c r="A50" s="13" t="s">
        <v>62</v>
      </c>
      <c r="B50" s="15">
        <f>138.4</f>
        <v>138.4</v>
      </c>
      <c r="C50" s="15">
        <f>1730.02</f>
        <v>1730.02</v>
      </c>
      <c r="D50" s="14"/>
      <c r="E50" s="14"/>
      <c r="F50" s="14"/>
      <c r="G50" s="14"/>
      <c r="H50" s="15">
        <f t="shared" si="11"/>
        <v>1868.42</v>
      </c>
    </row>
    <row r="51">
      <c r="A51" s="13" t="s">
        <v>63</v>
      </c>
      <c r="B51" s="14"/>
      <c r="C51" s="15">
        <f>1484.7</f>
        <v>1484.7</v>
      </c>
      <c r="D51" s="14"/>
      <c r="E51" s="14"/>
      <c r="F51" s="14"/>
      <c r="G51" s="14"/>
      <c r="H51" s="15">
        <f t="shared" si="11"/>
        <v>1484.7</v>
      </c>
    </row>
    <row r="52">
      <c r="A52" s="13" t="s">
        <v>65</v>
      </c>
      <c r="B52" s="14"/>
      <c r="C52" s="15">
        <f>18.17</f>
        <v>18.17</v>
      </c>
      <c r="D52" s="14"/>
      <c r="E52" s="14"/>
      <c r="F52" s="14"/>
      <c r="G52" s="14"/>
      <c r="H52" s="15">
        <f t="shared" si="11"/>
        <v>18.17</v>
      </c>
    </row>
    <row r="53">
      <c r="A53" s="13" t="s">
        <v>66</v>
      </c>
      <c r="B53" s="14"/>
      <c r="C53" s="15">
        <f>1246.73</f>
        <v>1246.73</v>
      </c>
      <c r="D53" s="15">
        <f>275</f>
        <v>275</v>
      </c>
      <c r="E53" s="14"/>
      <c r="F53" s="14"/>
      <c r="G53" s="14"/>
      <c r="H53" s="15">
        <f t="shared" si="11"/>
        <v>1521.73</v>
      </c>
    </row>
    <row r="54">
      <c r="A54" s="13" t="s">
        <v>67</v>
      </c>
      <c r="B54" s="14"/>
      <c r="C54" s="15">
        <f>577.24</f>
        <v>577.24</v>
      </c>
      <c r="D54" s="14"/>
      <c r="E54" s="14"/>
      <c r="F54" s="14"/>
      <c r="G54" s="14"/>
      <c r="H54" s="15">
        <f t="shared" si="11"/>
        <v>577.24</v>
      </c>
    </row>
    <row r="55">
      <c r="A55" s="13" t="s">
        <v>68</v>
      </c>
      <c r="B55" s="14"/>
      <c r="C55" s="15">
        <f>108</f>
        <v>108</v>
      </c>
      <c r="D55" s="15">
        <f>20</f>
        <v>20</v>
      </c>
      <c r="E55" s="14"/>
      <c r="F55" s="14"/>
      <c r="G55" s="14"/>
      <c r="H55" s="15">
        <f t="shared" si="11"/>
        <v>128</v>
      </c>
    </row>
    <row r="56">
      <c r="A56" s="13" t="s">
        <v>69</v>
      </c>
      <c r="B56" s="14"/>
      <c r="C56" s="14"/>
      <c r="D56" s="14"/>
      <c r="E56" s="14"/>
      <c r="F56" s="14"/>
      <c r="G56" s="14"/>
      <c r="H56" s="15">
        <f t="shared" si="11"/>
        <v>0</v>
      </c>
    </row>
    <row r="57">
      <c r="A57" s="13" t="s">
        <v>70</v>
      </c>
      <c r="B57" s="14"/>
      <c r="C57" s="15">
        <f>680.75</f>
        <v>680.75</v>
      </c>
      <c r="D57" s="14"/>
      <c r="E57" s="14"/>
      <c r="F57" s="14"/>
      <c r="G57" s="14"/>
      <c r="H57" s="15">
        <f t="shared" si="11"/>
        <v>680.75</v>
      </c>
    </row>
    <row r="58">
      <c r="A58" s="13" t="s">
        <v>71</v>
      </c>
      <c r="B58" s="14"/>
      <c r="C58" s="15">
        <f>803.92</f>
        <v>803.92</v>
      </c>
      <c r="D58" s="14"/>
      <c r="E58" s="14"/>
      <c r="F58" s="14"/>
      <c r="G58" s="14"/>
      <c r="H58" s="15">
        <f t="shared" si="11"/>
        <v>803.92</v>
      </c>
    </row>
    <row r="59">
      <c r="A59" s="13" t="s">
        <v>72</v>
      </c>
      <c r="B59" s="17">
        <f t="shared" ref="B59:G59" si="13">((B56)+(B57))+(B58)</f>
        <v>0</v>
      </c>
      <c r="C59" s="17">
        <f t="shared" si="13"/>
        <v>1484.67</v>
      </c>
      <c r="D59" s="17">
        <f t="shared" si="13"/>
        <v>0</v>
      </c>
      <c r="E59" s="17">
        <f t="shared" si="13"/>
        <v>0</v>
      </c>
      <c r="F59" s="17">
        <f t="shared" si="13"/>
        <v>0</v>
      </c>
      <c r="G59" s="17">
        <f t="shared" si="13"/>
        <v>0</v>
      </c>
      <c r="H59" s="17">
        <f t="shared" si="11"/>
        <v>1484.67</v>
      </c>
    </row>
    <row r="60">
      <c r="A60" s="13" t="s">
        <v>73</v>
      </c>
      <c r="B60" s="14"/>
      <c r="C60" s="15">
        <f>425</f>
        <v>425</v>
      </c>
      <c r="D60" s="14"/>
      <c r="E60" s="14"/>
      <c r="F60" s="14"/>
      <c r="G60" s="14"/>
      <c r="H60" s="15">
        <f t="shared" si="11"/>
        <v>425</v>
      </c>
    </row>
    <row r="61">
      <c r="A61" s="13" t="s">
        <v>74</v>
      </c>
      <c r="B61" s="17">
        <f t="shared" ref="B61:G61" si="14">(((((((((((((B41)+(B45))+(B46))+(B47))+(B48))+(B49))+(B50))+(B51))+(B52))+(B53))+(B54))+(B55))+(B59))+(B60)</f>
        <v>138.4</v>
      </c>
      <c r="C61" s="17">
        <f t="shared" si="14"/>
        <v>20870.99</v>
      </c>
      <c r="D61" s="17">
        <f t="shared" si="14"/>
        <v>1286.25</v>
      </c>
      <c r="E61" s="17">
        <f t="shared" si="14"/>
        <v>0</v>
      </c>
      <c r="F61" s="17">
        <f t="shared" si="14"/>
        <v>0</v>
      </c>
      <c r="G61" s="17">
        <f t="shared" si="14"/>
        <v>0</v>
      </c>
      <c r="H61" s="17">
        <f t="shared" si="11"/>
        <v>22295.64</v>
      </c>
    </row>
    <row r="62">
      <c r="A62" s="13" t="s">
        <v>75</v>
      </c>
      <c r="B62" s="14"/>
      <c r="C62" s="15">
        <f>188.73</f>
        <v>188.73</v>
      </c>
      <c r="D62" s="14"/>
      <c r="E62" s="14"/>
      <c r="F62" s="14"/>
      <c r="G62" s="14"/>
      <c r="H62" s="15">
        <f t="shared" si="11"/>
        <v>188.73</v>
      </c>
    </row>
    <row r="63">
      <c r="A63" s="13" t="s">
        <v>76</v>
      </c>
      <c r="B63" s="14"/>
      <c r="C63" s="14"/>
      <c r="D63" s="14"/>
      <c r="E63" s="14"/>
      <c r="F63" s="14"/>
      <c r="G63" s="14"/>
      <c r="H63" s="15">
        <f t="shared" si="11"/>
        <v>0</v>
      </c>
    </row>
    <row r="64">
      <c r="A64" s="13" t="s">
        <v>77</v>
      </c>
      <c r="B64" s="14"/>
      <c r="C64" s="14"/>
      <c r="D64" s="14"/>
      <c r="E64" s="14"/>
      <c r="F64" s="14"/>
      <c r="G64" s="14"/>
      <c r="H64" s="15">
        <f t="shared" si="11"/>
        <v>0</v>
      </c>
    </row>
    <row r="65">
      <c r="A65" s="13" t="s">
        <v>78</v>
      </c>
      <c r="B65" s="14"/>
      <c r="C65" s="14"/>
      <c r="D65" s="14"/>
      <c r="E65" s="15">
        <f>1650.6</f>
        <v>1650.6</v>
      </c>
      <c r="F65" s="14"/>
      <c r="G65" s="14"/>
      <c r="H65" s="15">
        <f t="shared" si="11"/>
        <v>1650.6</v>
      </c>
    </row>
    <row r="66">
      <c r="A66" s="13" t="s">
        <v>84</v>
      </c>
      <c r="B66" s="14"/>
      <c r="C66" s="14"/>
      <c r="D66" s="14"/>
      <c r="E66" s="15">
        <f>2542.69</f>
        <v>2542.69</v>
      </c>
      <c r="F66" s="14"/>
      <c r="G66" s="14"/>
      <c r="H66" s="15">
        <f t="shared" si="11"/>
        <v>2542.69</v>
      </c>
    </row>
    <row r="67">
      <c r="A67" s="13" t="s">
        <v>85</v>
      </c>
      <c r="B67" s="14"/>
      <c r="C67" s="14"/>
      <c r="D67" s="14"/>
      <c r="E67" s="15">
        <f>14535.39</f>
        <v>14535.39</v>
      </c>
      <c r="F67" s="14"/>
      <c r="G67" s="14"/>
      <c r="H67" s="15">
        <f t="shared" si="11"/>
        <v>14535.39</v>
      </c>
    </row>
    <row r="68">
      <c r="A68" s="13" t="s">
        <v>89</v>
      </c>
      <c r="B68" s="14"/>
      <c r="C68" s="14"/>
      <c r="D68" s="14"/>
      <c r="E68" s="15">
        <f>2501.13</f>
        <v>2501.13</v>
      </c>
      <c r="F68" s="14"/>
      <c r="G68" s="14"/>
      <c r="H68" s="15">
        <f t="shared" si="11"/>
        <v>2501.13</v>
      </c>
    </row>
    <row r="69">
      <c r="A69" s="13" t="s">
        <v>90</v>
      </c>
      <c r="B69" s="14"/>
      <c r="C69" s="14"/>
      <c r="D69" s="14"/>
      <c r="E69" s="15">
        <f>451.17</f>
        <v>451.17</v>
      </c>
      <c r="F69" s="14"/>
      <c r="G69" s="14"/>
      <c r="H69" s="15">
        <f t="shared" si="11"/>
        <v>451.17</v>
      </c>
    </row>
    <row r="70">
      <c r="A70" s="13" t="s">
        <v>94</v>
      </c>
      <c r="B70" s="17">
        <f t="shared" ref="B70:G70" si="15">((((B65)+(B66))+(B67))+(B68))+(B69)</f>
        <v>0</v>
      </c>
      <c r="C70" s="17">
        <f t="shared" si="15"/>
        <v>0</v>
      </c>
      <c r="D70" s="17">
        <f t="shared" si="15"/>
        <v>0</v>
      </c>
      <c r="E70" s="17">
        <f t="shared" si="15"/>
        <v>21680.98</v>
      </c>
      <c r="F70" s="17">
        <f t="shared" si="15"/>
        <v>0</v>
      </c>
      <c r="G70" s="17">
        <f t="shared" si="15"/>
        <v>0</v>
      </c>
      <c r="H70" s="17">
        <f t="shared" si="11"/>
        <v>21680.98</v>
      </c>
    </row>
    <row r="71">
      <c r="A71" s="13" t="s">
        <v>95</v>
      </c>
      <c r="B71" s="17">
        <f t="shared" ref="B71:G71" si="16">(B64)+(B70)</f>
        <v>0</v>
      </c>
      <c r="C71" s="17">
        <f t="shared" si="16"/>
        <v>0</v>
      </c>
      <c r="D71" s="17">
        <f t="shared" si="16"/>
        <v>0</v>
      </c>
      <c r="E71" s="17">
        <f t="shared" si="16"/>
        <v>21680.98</v>
      </c>
      <c r="F71" s="17">
        <f t="shared" si="16"/>
        <v>0</v>
      </c>
      <c r="G71" s="17">
        <f t="shared" si="16"/>
        <v>0</v>
      </c>
      <c r="H71" s="17">
        <f t="shared" si="11"/>
        <v>21680.98</v>
      </c>
    </row>
    <row r="72">
      <c r="A72" s="13" t="s">
        <v>97</v>
      </c>
      <c r="B72" s="14"/>
      <c r="C72" s="14"/>
      <c r="D72" s="14"/>
      <c r="E72" s="14"/>
      <c r="F72" s="14"/>
      <c r="G72" s="14"/>
      <c r="H72" s="15">
        <f t="shared" si="11"/>
        <v>0</v>
      </c>
    </row>
    <row r="73">
      <c r="A73" s="13" t="s">
        <v>98</v>
      </c>
      <c r="B73" s="14"/>
      <c r="C73" s="14"/>
      <c r="D73" s="14"/>
      <c r="E73" s="14"/>
      <c r="F73" s="14"/>
      <c r="G73" s="14"/>
      <c r="H73" s="15">
        <f t="shared" si="11"/>
        <v>0</v>
      </c>
    </row>
    <row r="74">
      <c r="A74" s="13" t="s">
        <v>99</v>
      </c>
      <c r="B74" s="15">
        <f>1422.93</f>
        <v>1422.93</v>
      </c>
      <c r="C74" s="15">
        <f>3152.2</f>
        <v>3152.2</v>
      </c>
      <c r="D74" s="15">
        <f>29617.59</f>
        <v>29617.59</v>
      </c>
      <c r="E74" s="14"/>
      <c r="F74" s="15">
        <f>8023.88</f>
        <v>8023.88</v>
      </c>
      <c r="G74" s="14"/>
      <c r="H74" s="15">
        <f t="shared" si="11"/>
        <v>42216.6</v>
      </c>
    </row>
    <row r="75">
      <c r="A75" s="13" t="s">
        <v>101</v>
      </c>
      <c r="B75" s="14"/>
      <c r="C75" s="14"/>
      <c r="D75" s="14"/>
      <c r="E75" s="14"/>
      <c r="F75" s="14"/>
      <c r="G75" s="14"/>
      <c r="H75" s="15">
        <f t="shared" si="11"/>
        <v>0</v>
      </c>
    </row>
    <row r="76">
      <c r="A76" s="13" t="s">
        <v>102</v>
      </c>
      <c r="B76" s="14"/>
      <c r="C76" s="14"/>
      <c r="D76" s="14"/>
      <c r="E76" s="14"/>
      <c r="F76" s="15">
        <f>6344.9</f>
        <v>6344.9</v>
      </c>
      <c r="G76" s="14"/>
      <c r="H76" s="15">
        <f t="shared" si="11"/>
        <v>6344.9</v>
      </c>
    </row>
    <row r="77">
      <c r="A77" s="13" t="s">
        <v>103</v>
      </c>
      <c r="B77" s="14"/>
      <c r="C77" s="14"/>
      <c r="D77" s="14"/>
      <c r="E77" s="14"/>
      <c r="F77" s="15">
        <f>2000</f>
        <v>2000</v>
      </c>
      <c r="G77" s="14"/>
      <c r="H77" s="15">
        <f t="shared" si="11"/>
        <v>2000</v>
      </c>
    </row>
    <row r="78">
      <c r="A78" s="13" t="s">
        <v>104</v>
      </c>
      <c r="B78" s="14"/>
      <c r="C78" s="14"/>
      <c r="D78" s="14"/>
      <c r="E78" s="14"/>
      <c r="F78" s="15">
        <f>593.32</f>
        <v>593.32</v>
      </c>
      <c r="G78" s="14"/>
      <c r="H78" s="15">
        <f t="shared" si="11"/>
        <v>593.32</v>
      </c>
    </row>
    <row r="79">
      <c r="A79" s="13" t="s">
        <v>105</v>
      </c>
      <c r="B79" s="17">
        <f t="shared" ref="B79:G79" si="17">(((B75)+(B76))+(B77))+(B78)</f>
        <v>0</v>
      </c>
      <c r="C79" s="17">
        <f t="shared" si="17"/>
        <v>0</v>
      </c>
      <c r="D79" s="17">
        <f t="shared" si="17"/>
        <v>0</v>
      </c>
      <c r="E79" s="17">
        <f t="shared" si="17"/>
        <v>0</v>
      </c>
      <c r="F79" s="17">
        <f t="shared" si="17"/>
        <v>8938.22</v>
      </c>
      <c r="G79" s="17">
        <f t="shared" si="17"/>
        <v>0</v>
      </c>
      <c r="H79" s="17">
        <f t="shared" si="11"/>
        <v>8938.22</v>
      </c>
    </row>
    <row r="80">
      <c r="A80" s="13" t="s">
        <v>106</v>
      </c>
      <c r="B80" s="14"/>
      <c r="C80" s="14"/>
      <c r="D80" s="14"/>
      <c r="E80" s="14"/>
      <c r="F80" s="15">
        <f>660</f>
        <v>660</v>
      </c>
      <c r="G80" s="14"/>
      <c r="H80" s="15">
        <f t="shared" si="11"/>
        <v>660</v>
      </c>
    </row>
    <row r="81">
      <c r="A81" s="13" t="s">
        <v>107</v>
      </c>
      <c r="B81" s="14"/>
      <c r="C81" s="14"/>
      <c r="D81" s="14"/>
      <c r="E81" s="14"/>
      <c r="F81" s="15">
        <f>17090.59</f>
        <v>17090.59</v>
      </c>
      <c r="G81" s="14"/>
      <c r="H81" s="15">
        <f t="shared" si="11"/>
        <v>17090.59</v>
      </c>
    </row>
    <row r="82">
      <c r="A82" s="13" t="s">
        <v>108</v>
      </c>
      <c r="B82" s="14"/>
      <c r="C82" s="14"/>
      <c r="D82" s="14"/>
      <c r="E82" s="14"/>
      <c r="F82" s="15">
        <f>2261.25</f>
        <v>2261.25</v>
      </c>
      <c r="G82" s="14"/>
      <c r="H82" s="15">
        <f t="shared" si="11"/>
        <v>2261.25</v>
      </c>
    </row>
    <row r="83">
      <c r="A83" s="13" t="s">
        <v>109</v>
      </c>
      <c r="B83" s="14"/>
      <c r="C83" s="14"/>
      <c r="D83" s="15">
        <f>519.4</f>
        <v>519.4</v>
      </c>
      <c r="E83" s="14"/>
      <c r="F83" s="15">
        <f>321.3</f>
        <v>321.3</v>
      </c>
      <c r="G83" s="14"/>
      <c r="H83" s="15">
        <f t="shared" si="11"/>
        <v>840.7</v>
      </c>
    </row>
    <row r="84">
      <c r="A84" s="13" t="s">
        <v>110</v>
      </c>
      <c r="B84" s="17">
        <f t="shared" ref="B84:G84" si="18">((((((B73)+(B74))+(B79))+(B80))+(B81))+(B82))+(B83)</f>
        <v>1422.93</v>
      </c>
      <c r="C84" s="17">
        <f t="shared" si="18"/>
        <v>3152.2</v>
      </c>
      <c r="D84" s="17">
        <f t="shared" si="18"/>
        <v>30136.99</v>
      </c>
      <c r="E84" s="17">
        <f t="shared" si="18"/>
        <v>0</v>
      </c>
      <c r="F84" s="17">
        <f t="shared" si="18"/>
        <v>37295.24</v>
      </c>
      <c r="G84" s="17">
        <f t="shared" si="18"/>
        <v>0</v>
      </c>
      <c r="H84" s="17">
        <f t="shared" si="11"/>
        <v>72007.36</v>
      </c>
    </row>
    <row r="85">
      <c r="A85" s="13" t="s">
        <v>111</v>
      </c>
      <c r="B85" s="15">
        <f>157.87</f>
        <v>157.87</v>
      </c>
      <c r="C85" s="14"/>
      <c r="D85" s="14"/>
      <c r="E85" s="14"/>
      <c r="F85" s="15">
        <f>677.08</f>
        <v>677.08</v>
      </c>
      <c r="G85" s="14"/>
      <c r="H85" s="15">
        <f t="shared" si="11"/>
        <v>834.95</v>
      </c>
    </row>
    <row r="86">
      <c r="A86" s="13" t="s">
        <v>112</v>
      </c>
      <c r="B86" s="17">
        <f t="shared" ref="B86:G86" si="19">((B72)+(B84))+(B85)</f>
        <v>1580.8</v>
      </c>
      <c r="C86" s="17">
        <f t="shared" si="19"/>
        <v>3152.2</v>
      </c>
      <c r="D86" s="17">
        <f t="shared" si="19"/>
        <v>30136.99</v>
      </c>
      <c r="E86" s="17">
        <f t="shared" si="19"/>
        <v>0</v>
      </c>
      <c r="F86" s="17">
        <f t="shared" si="19"/>
        <v>37972.32</v>
      </c>
      <c r="G86" s="17">
        <f t="shared" si="19"/>
        <v>0</v>
      </c>
      <c r="H86" s="17">
        <f t="shared" si="11"/>
        <v>72842.31</v>
      </c>
    </row>
    <row r="87">
      <c r="A87" s="13" t="s">
        <v>113</v>
      </c>
      <c r="B87" s="17">
        <f t="shared" ref="B87:G87" si="20">((B63)+(B71))+(B86)</f>
        <v>1580.8</v>
      </c>
      <c r="C87" s="17">
        <f t="shared" si="20"/>
        <v>3152.2</v>
      </c>
      <c r="D87" s="17">
        <f t="shared" si="20"/>
        <v>30136.99</v>
      </c>
      <c r="E87" s="17">
        <f t="shared" si="20"/>
        <v>21680.98</v>
      </c>
      <c r="F87" s="17">
        <f t="shared" si="20"/>
        <v>37972.32</v>
      </c>
      <c r="G87" s="17">
        <f t="shared" si="20"/>
        <v>0</v>
      </c>
      <c r="H87" s="17">
        <f t="shared" si="11"/>
        <v>94523.29</v>
      </c>
    </row>
    <row r="88">
      <c r="A88" s="13" t="s">
        <v>114</v>
      </c>
      <c r="B88" s="17">
        <f t="shared" ref="B88:G88" si="21">((B61)+(B62))+(B87)</f>
        <v>1719.2</v>
      </c>
      <c r="C88" s="17">
        <f t="shared" si="21"/>
        <v>24211.92</v>
      </c>
      <c r="D88" s="17">
        <f t="shared" si="21"/>
        <v>31423.24</v>
      </c>
      <c r="E88" s="17">
        <f t="shared" si="21"/>
        <v>21680.98</v>
      </c>
      <c r="F88" s="17">
        <f t="shared" si="21"/>
        <v>37972.32</v>
      </c>
      <c r="G88" s="17">
        <f t="shared" si="21"/>
        <v>0</v>
      </c>
      <c r="H88" s="17">
        <f t="shared" si="11"/>
        <v>117007.66</v>
      </c>
    </row>
    <row r="89">
      <c r="A89" s="13" t="s">
        <v>115</v>
      </c>
      <c r="B89" s="17">
        <f t="shared" ref="B89:G89" si="22">(B39)-(B88)</f>
        <v>48270.8</v>
      </c>
      <c r="C89" s="20">
        <f t="shared" si="22"/>
        <v>-25108.46</v>
      </c>
      <c r="D89" s="17">
        <f t="shared" si="22"/>
        <v>5232.85</v>
      </c>
      <c r="E89" s="17">
        <f t="shared" si="22"/>
        <v>97345.13</v>
      </c>
      <c r="F89" s="20">
        <f t="shared" si="22"/>
        <v>-12073.96</v>
      </c>
      <c r="G89" s="17">
        <f t="shared" si="22"/>
        <v>0</v>
      </c>
      <c r="H89" s="17">
        <f t="shared" si="11"/>
        <v>113666.36</v>
      </c>
    </row>
    <row r="90">
      <c r="A90" s="13" t="s">
        <v>4</v>
      </c>
      <c r="B90" s="17">
        <f t="shared" ref="B90:G90" si="23">(B89)+(0)</f>
        <v>48270.8</v>
      </c>
      <c r="C90" s="20">
        <f t="shared" si="23"/>
        <v>-25108.46</v>
      </c>
      <c r="D90" s="17">
        <f t="shared" si="23"/>
        <v>5232.85</v>
      </c>
      <c r="E90" s="17">
        <f t="shared" si="23"/>
        <v>97345.13</v>
      </c>
      <c r="F90" s="20">
        <f t="shared" si="23"/>
        <v>-12073.96</v>
      </c>
      <c r="G90" s="17">
        <f t="shared" si="23"/>
        <v>0</v>
      </c>
      <c r="H90" s="17">
        <f t="shared" si="11"/>
        <v>113666.36</v>
      </c>
    </row>
    <row r="91">
      <c r="A91" s="13"/>
      <c r="B91" s="14"/>
      <c r="C91" s="14"/>
      <c r="D91" s="14"/>
      <c r="E91" s="14"/>
      <c r="F91" s="14"/>
      <c r="G91" s="14"/>
      <c r="H91" s="14"/>
    </row>
    <row r="92"/>
    <row r="93"/>
    <row r="94">
      <c r="A94" s="19" t="s">
        <v>125</v>
      </c>
    </row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H1"/>
    <mergeCell ref="A2:H2"/>
    <mergeCell ref="A3:H3"/>
    <mergeCell ref="A94:H94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255</v>
      </c>
    </row>
    <row r="3">
      <c r="A3" s="26" t="s">
        <v>270</v>
      </c>
    </row>
    <row r="5">
      <c r="A5" s="10"/>
      <c r="B5" s="11" t="s">
        <v>230</v>
      </c>
      <c r="C5" s="11" t="s">
        <v>256</v>
      </c>
      <c r="D5" s="11" t="s">
        <v>257</v>
      </c>
      <c r="E5" s="11" t="s">
        <v>258</v>
      </c>
      <c r="F5" s="11" t="s">
        <v>259</v>
      </c>
      <c r="G5" s="11" t="s">
        <v>9</v>
      </c>
    </row>
    <row r="6">
      <c r="A6" s="13" t="s">
        <v>274</v>
      </c>
      <c r="B6" s="14"/>
      <c r="C6" s="14"/>
      <c r="D6" s="14"/>
      <c r="E6" s="14"/>
      <c r="F6" s="14"/>
      <c r="G6" s="15">
        <f t="shared" ref="G6:G10" si="1">((((B6)+(C6))+(D6))+(E6))+(F6)</f>
        <v>0</v>
      </c>
    </row>
    <row r="7">
      <c r="A7" s="13" t="s">
        <v>275</v>
      </c>
      <c r="B7" s="15">
        <f>25898.36</f>
        <v>25898.36</v>
      </c>
      <c r="C7" s="14"/>
      <c r="D7" s="14"/>
      <c r="E7" s="14"/>
      <c r="F7" s="14"/>
      <c r="G7" s="15">
        <f t="shared" si="1"/>
        <v>25898.36</v>
      </c>
    </row>
    <row r="8">
      <c r="A8" s="13" t="s">
        <v>276</v>
      </c>
      <c r="B8" s="17">
        <f t="shared" ref="B8:F8" si="2">(B6)+(B7)</f>
        <v>25898.36</v>
      </c>
      <c r="C8" s="17">
        <f t="shared" si="2"/>
        <v>0</v>
      </c>
      <c r="D8" s="17">
        <f t="shared" si="2"/>
        <v>0</v>
      </c>
      <c r="E8" s="17">
        <f t="shared" si="2"/>
        <v>0</v>
      </c>
      <c r="F8" s="17">
        <f t="shared" si="2"/>
        <v>0</v>
      </c>
      <c r="G8" s="17">
        <f t="shared" si="1"/>
        <v>25898.36</v>
      </c>
    </row>
    <row r="9">
      <c r="A9" s="13" t="s">
        <v>120</v>
      </c>
      <c r="B9" s="14"/>
      <c r="C9" s="14"/>
      <c r="D9" s="15">
        <f>36084.79</f>
        <v>36084.79</v>
      </c>
      <c r="E9" s="14"/>
      <c r="F9" s="14"/>
      <c r="G9" s="15">
        <f t="shared" si="1"/>
        <v>36084.79</v>
      </c>
    </row>
    <row r="10">
      <c r="A10" s="13" t="s">
        <v>124</v>
      </c>
      <c r="B10" s="17">
        <f t="shared" ref="B10:F10" si="3">(B8)+(B9)</f>
        <v>25898.36</v>
      </c>
      <c r="C10" s="17">
        <f t="shared" si="3"/>
        <v>0</v>
      </c>
      <c r="D10" s="17">
        <f t="shared" si="3"/>
        <v>36084.79</v>
      </c>
      <c r="E10" s="17">
        <f t="shared" si="3"/>
        <v>0</v>
      </c>
      <c r="F10" s="17">
        <f t="shared" si="3"/>
        <v>0</v>
      </c>
      <c r="G10" s="17">
        <f t="shared" si="1"/>
        <v>61983.15</v>
      </c>
    </row>
    <row r="11">
      <c r="A11" s="13"/>
      <c r="B11" s="14"/>
      <c r="C11" s="14"/>
      <c r="D11" s="14"/>
      <c r="E11" s="14"/>
      <c r="F11" s="14"/>
      <c r="G11" s="14"/>
    </row>
    <row r="14">
      <c r="A14" s="19" t="s">
        <v>277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4:G14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4.0"/>
    <col customWidth="1" min="2" max="4" width="10.5"/>
    <col customWidth="1" min="5" max="5" width="30.8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214</v>
      </c>
    </row>
    <row r="3">
      <c r="A3" s="9" t="s">
        <v>270</v>
      </c>
    </row>
    <row r="5">
      <c r="B5" s="11" t="s">
        <v>216</v>
      </c>
      <c r="C5" s="11" t="s">
        <v>217</v>
      </c>
      <c r="D5" s="11" t="s">
        <v>218</v>
      </c>
      <c r="E5" s="11" t="s">
        <v>219</v>
      </c>
      <c r="F5" s="11" t="s">
        <v>220</v>
      </c>
      <c r="G5" s="11" t="s">
        <v>221</v>
      </c>
      <c r="H5" s="11" t="s">
        <v>222</v>
      </c>
      <c r="I5" s="11" t="s">
        <v>223</v>
      </c>
    </row>
    <row r="6">
      <c r="A6" s="13" t="s">
        <v>278</v>
      </c>
    </row>
    <row r="7">
      <c r="B7" s="34" t="s">
        <v>279</v>
      </c>
      <c r="C7" s="34" t="s">
        <v>226</v>
      </c>
      <c r="D7" s="34">
        <v>9525.0</v>
      </c>
      <c r="E7" s="34" t="s">
        <v>251</v>
      </c>
      <c r="F7" s="34" t="s">
        <v>279</v>
      </c>
      <c r="G7" s="35">
        <v>66.0</v>
      </c>
      <c r="H7" s="15">
        <v>793.75</v>
      </c>
      <c r="I7" s="15">
        <v>793.75</v>
      </c>
    </row>
    <row r="8">
      <c r="B8" s="34" t="s">
        <v>280</v>
      </c>
      <c r="C8" s="34" t="s">
        <v>226</v>
      </c>
      <c r="D8" s="34">
        <v>9556.0</v>
      </c>
      <c r="E8" s="34" t="s">
        <v>251</v>
      </c>
      <c r="F8" s="34" t="s">
        <v>280</v>
      </c>
      <c r="G8" s="35">
        <v>52.0</v>
      </c>
      <c r="H8" s="15">
        <v>1235.0</v>
      </c>
      <c r="I8" s="15">
        <v>1235.0</v>
      </c>
    </row>
    <row r="9">
      <c r="B9" s="34" t="s">
        <v>281</v>
      </c>
      <c r="C9" s="34" t="s">
        <v>226</v>
      </c>
      <c r="D9" s="34">
        <v>9605.0</v>
      </c>
      <c r="E9" s="34" t="s">
        <v>251</v>
      </c>
      <c r="F9" s="34" t="s">
        <v>281</v>
      </c>
      <c r="G9" s="35">
        <v>38.0</v>
      </c>
      <c r="H9" s="15">
        <v>1267.5</v>
      </c>
      <c r="I9" s="15">
        <v>1267.5</v>
      </c>
    </row>
    <row r="10">
      <c r="A10" s="13" t="s">
        <v>282</v>
      </c>
      <c r="H10" s="17">
        <v>3296.25</v>
      </c>
      <c r="I10" s="17">
        <v>3296.25</v>
      </c>
    </row>
    <row r="11">
      <c r="A11" s="13" t="s">
        <v>224</v>
      </c>
    </row>
    <row r="12">
      <c r="B12" s="34" t="s">
        <v>283</v>
      </c>
      <c r="C12" s="34" t="s">
        <v>226</v>
      </c>
      <c r="D12" s="34">
        <v>9735.0</v>
      </c>
      <c r="E12" s="34" t="s">
        <v>251</v>
      </c>
      <c r="F12" s="34" t="s">
        <v>283</v>
      </c>
      <c r="G12" s="35">
        <v>10.0</v>
      </c>
      <c r="H12" s="15">
        <v>887.5</v>
      </c>
      <c r="I12" s="15">
        <v>887.5</v>
      </c>
    </row>
    <row r="13">
      <c r="A13" s="13" t="s">
        <v>229</v>
      </c>
      <c r="H13" s="17">
        <v>887.5</v>
      </c>
      <c r="I13" s="17">
        <v>887.5</v>
      </c>
    </row>
    <row r="14">
      <c r="A14" s="13" t="s">
        <v>230</v>
      </c>
    </row>
    <row r="15">
      <c r="B15" s="34" t="s">
        <v>284</v>
      </c>
      <c r="C15" s="34" t="s">
        <v>226</v>
      </c>
      <c r="D15" s="34" t="s">
        <v>285</v>
      </c>
      <c r="E15" s="34" t="s">
        <v>228</v>
      </c>
      <c r="F15" s="34" t="s">
        <v>284</v>
      </c>
      <c r="G15" s="35">
        <v>6.0</v>
      </c>
      <c r="H15" s="15">
        <v>6603.46</v>
      </c>
      <c r="I15" s="15">
        <v>6603.46</v>
      </c>
    </row>
    <row r="16">
      <c r="B16" s="34" t="s">
        <v>286</v>
      </c>
      <c r="C16" s="34" t="s">
        <v>226</v>
      </c>
      <c r="D16" s="34">
        <v>684482.0</v>
      </c>
      <c r="E16" s="34" t="s">
        <v>287</v>
      </c>
      <c r="F16" s="34" t="s">
        <v>288</v>
      </c>
      <c r="G16" s="35">
        <v>4.0</v>
      </c>
      <c r="H16" s="15">
        <v>91.0</v>
      </c>
      <c r="I16" s="15">
        <v>91.0</v>
      </c>
    </row>
    <row r="17">
      <c r="B17" s="34" t="s">
        <v>289</v>
      </c>
      <c r="C17" s="34" t="s">
        <v>226</v>
      </c>
      <c r="D17" s="34">
        <v>3838.0</v>
      </c>
      <c r="E17" s="34" t="s">
        <v>290</v>
      </c>
      <c r="F17" s="34" t="s">
        <v>225</v>
      </c>
      <c r="G17" s="35">
        <v>-55.0</v>
      </c>
      <c r="H17" s="15">
        <v>246.0</v>
      </c>
      <c r="I17" s="15">
        <v>246.0</v>
      </c>
    </row>
    <row r="18">
      <c r="A18" s="13" t="s">
        <v>238</v>
      </c>
      <c r="H18" s="17">
        <v>6940.46</v>
      </c>
      <c r="I18" s="17">
        <v>6940.46</v>
      </c>
    </row>
    <row r="19">
      <c r="A19" s="13" t="s">
        <v>124</v>
      </c>
      <c r="H19" s="17">
        <v>11124.21</v>
      </c>
      <c r="I19" s="17">
        <v>11124.21</v>
      </c>
    </row>
    <row r="21"/>
    <row r="22">
      <c r="A22" s="19" t="s">
        <v>291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22:I22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25"/>
    <col customWidth="1" min="7" max="7" width="13.88"/>
    <col customWidth="1" min="8" max="26" width="7.63"/>
  </cols>
  <sheetData>
    <row r="1">
      <c r="A1" s="8" t="s">
        <v>6</v>
      </c>
    </row>
    <row r="2">
      <c r="A2" s="8" t="s">
        <v>117</v>
      </c>
    </row>
    <row r="3">
      <c r="A3" s="9" t="s">
        <v>261</v>
      </c>
    </row>
    <row r="4">
      <c r="F4" s="30" t="s">
        <v>210</v>
      </c>
      <c r="G4" s="31">
        <v>75000.0</v>
      </c>
    </row>
    <row r="5">
      <c r="A5" s="10"/>
      <c r="B5" s="11" t="s">
        <v>120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268</v>
      </c>
      <c r="B7" s="15">
        <f>-18519.48</f>
        <v>-18519.48</v>
      </c>
      <c r="C7" s="15">
        <f t="shared" ref="C7:C16" si="1">B7</f>
        <v>-18519.48</v>
      </c>
    </row>
    <row r="8">
      <c r="A8" s="13" t="s">
        <v>41</v>
      </c>
      <c r="B8" s="14"/>
      <c r="C8" s="15" t="str">
        <f t="shared" si="1"/>
        <v/>
      </c>
    </row>
    <row r="9">
      <c r="A9" s="13" t="s">
        <v>42</v>
      </c>
      <c r="B9" s="15">
        <f>3757.88</f>
        <v>3757.88</v>
      </c>
      <c r="C9" s="15">
        <f t="shared" si="1"/>
        <v>3757.88</v>
      </c>
    </row>
    <row r="10">
      <c r="A10" s="13" t="s">
        <v>43</v>
      </c>
      <c r="B10" s="15">
        <f>28763.06</f>
        <v>28763.06</v>
      </c>
      <c r="C10" s="15">
        <f t="shared" si="1"/>
        <v>28763.06</v>
      </c>
    </row>
    <row r="11">
      <c r="A11" s="13" t="s">
        <v>46</v>
      </c>
      <c r="B11" s="15">
        <f>2665.14</f>
        <v>2665.14</v>
      </c>
      <c r="C11" s="15">
        <f t="shared" si="1"/>
        <v>2665.14</v>
      </c>
    </row>
    <row r="12">
      <c r="A12" s="13" t="s">
        <v>47</v>
      </c>
      <c r="B12" s="15">
        <f>898.71</f>
        <v>898.71</v>
      </c>
      <c r="C12" s="15">
        <f t="shared" si="1"/>
        <v>898.71</v>
      </c>
    </row>
    <row r="13">
      <c r="A13" s="13" t="s">
        <v>48</v>
      </c>
      <c r="B13" s="17">
        <f>((B10)+(B11))+(B12)</f>
        <v>32326.91</v>
      </c>
      <c r="C13" s="17">
        <f t="shared" si="1"/>
        <v>32326.91</v>
      </c>
    </row>
    <row r="14">
      <c r="A14" s="13" t="s">
        <v>49</v>
      </c>
      <c r="B14" s="17">
        <f>((B8)+(B9))+(B13)</f>
        <v>36084.79</v>
      </c>
      <c r="C14" s="17">
        <f t="shared" si="1"/>
        <v>36084.79</v>
      </c>
    </row>
    <row r="15">
      <c r="A15" s="13" t="s">
        <v>2</v>
      </c>
      <c r="B15" s="17">
        <f>(B7)+(B14)</f>
        <v>17565.31</v>
      </c>
      <c r="C15" s="17">
        <f t="shared" si="1"/>
        <v>17565.31</v>
      </c>
    </row>
    <row r="16">
      <c r="A16" s="13" t="s">
        <v>50</v>
      </c>
      <c r="B16" s="17">
        <f>(B15)-(0)</f>
        <v>17565.31</v>
      </c>
      <c r="C16" s="17">
        <f t="shared" si="1"/>
        <v>17565.31</v>
      </c>
    </row>
    <row r="17">
      <c r="A17" s="13" t="s">
        <v>51</v>
      </c>
      <c r="B17" s="14"/>
      <c r="C17" s="14"/>
    </row>
    <row r="18">
      <c r="A18" s="13" t="s">
        <v>52</v>
      </c>
      <c r="B18" s="14"/>
      <c r="C18" s="15" t="str">
        <f t="shared" ref="C18:C35" si="2">B18</f>
        <v/>
      </c>
    </row>
    <row r="19">
      <c r="A19" s="13" t="s">
        <v>53</v>
      </c>
      <c r="B19" s="14"/>
      <c r="C19" s="15" t="str">
        <f t="shared" si="2"/>
        <v/>
      </c>
    </row>
    <row r="20">
      <c r="A20" s="13" t="s">
        <v>55</v>
      </c>
      <c r="B20" s="15">
        <f>991.25</f>
        <v>991.25</v>
      </c>
      <c r="C20" s="15">
        <f t="shared" si="2"/>
        <v>991.25</v>
      </c>
    </row>
    <row r="21">
      <c r="A21" s="13" t="s">
        <v>56</v>
      </c>
      <c r="B21" s="17">
        <f>(B19)+(B20)</f>
        <v>991.25</v>
      </c>
      <c r="C21" s="17">
        <f t="shared" si="2"/>
        <v>991.25</v>
      </c>
    </row>
    <row r="22">
      <c r="A22" s="13" t="s">
        <v>66</v>
      </c>
      <c r="B22" s="15">
        <f>275</f>
        <v>275</v>
      </c>
      <c r="C22" s="15">
        <f t="shared" si="2"/>
        <v>275</v>
      </c>
    </row>
    <row r="23">
      <c r="A23" s="13" t="s">
        <v>68</v>
      </c>
      <c r="B23" s="15">
        <f>20</f>
        <v>20</v>
      </c>
      <c r="C23" s="15">
        <f t="shared" si="2"/>
        <v>20</v>
      </c>
    </row>
    <row r="24">
      <c r="A24" s="13" t="s">
        <v>74</v>
      </c>
      <c r="B24" s="17">
        <f>(((B18)+(B21))+(B22))+(B23)</f>
        <v>1286.25</v>
      </c>
      <c r="C24" s="17">
        <f t="shared" si="2"/>
        <v>1286.25</v>
      </c>
    </row>
    <row r="25">
      <c r="A25" s="13" t="s">
        <v>76</v>
      </c>
      <c r="B25" s="14"/>
      <c r="C25" s="15" t="str">
        <f t="shared" si="2"/>
        <v/>
      </c>
    </row>
    <row r="26">
      <c r="A26" s="13" t="s">
        <v>97</v>
      </c>
      <c r="B26" s="14"/>
      <c r="C26" s="15" t="str">
        <f t="shared" si="2"/>
        <v/>
      </c>
    </row>
    <row r="27">
      <c r="A27" s="13" t="s">
        <v>98</v>
      </c>
      <c r="B27" s="14"/>
      <c r="C27" s="15" t="str">
        <f t="shared" si="2"/>
        <v/>
      </c>
    </row>
    <row r="28">
      <c r="A28" s="13" t="s">
        <v>99</v>
      </c>
      <c r="B28" s="15">
        <f>22415.65</f>
        <v>22415.65</v>
      </c>
      <c r="C28" s="15">
        <f t="shared" si="2"/>
        <v>22415.65</v>
      </c>
    </row>
    <row r="29">
      <c r="A29" s="13" t="s">
        <v>109</v>
      </c>
      <c r="B29" s="15">
        <f>519.4</f>
        <v>519.4</v>
      </c>
      <c r="C29" s="15">
        <f t="shared" si="2"/>
        <v>519.4</v>
      </c>
    </row>
    <row r="30">
      <c r="A30" s="13" t="s">
        <v>110</v>
      </c>
      <c r="B30" s="17">
        <f>((B27)+(B28))+(B29)</f>
        <v>22935.05</v>
      </c>
      <c r="C30" s="17">
        <f t="shared" si="2"/>
        <v>22935.05</v>
      </c>
    </row>
    <row r="31">
      <c r="A31" s="13" t="s">
        <v>112</v>
      </c>
      <c r="B31" s="17">
        <f>(B26)+(B30)</f>
        <v>22935.05</v>
      </c>
      <c r="C31" s="17">
        <f t="shared" si="2"/>
        <v>22935.05</v>
      </c>
    </row>
    <row r="32">
      <c r="A32" s="13" t="s">
        <v>113</v>
      </c>
      <c r="B32" s="17">
        <f>(B25)+(B31)</f>
        <v>22935.05</v>
      </c>
      <c r="C32" s="17">
        <f t="shared" si="2"/>
        <v>22935.05</v>
      </c>
    </row>
    <row r="33">
      <c r="A33" s="13" t="s">
        <v>114</v>
      </c>
      <c r="B33" s="17">
        <f>(B24)+(B32)</f>
        <v>24221.3</v>
      </c>
      <c r="C33" s="17">
        <f t="shared" si="2"/>
        <v>24221.3</v>
      </c>
    </row>
    <row r="34">
      <c r="A34" s="13" t="s">
        <v>115</v>
      </c>
      <c r="B34" s="20">
        <f>(B16)-(B33)</f>
        <v>-6655.99</v>
      </c>
      <c r="C34" s="20">
        <f t="shared" si="2"/>
        <v>-6655.99</v>
      </c>
    </row>
    <row r="35">
      <c r="A35" s="13" t="s">
        <v>4</v>
      </c>
      <c r="B35" s="20">
        <f>(B34)+(0)</f>
        <v>-6655.99</v>
      </c>
      <c r="C35" s="20">
        <f t="shared" si="2"/>
        <v>-6655.99</v>
      </c>
    </row>
    <row r="36">
      <c r="A36" s="13"/>
      <c r="B36" s="14"/>
      <c r="C36" s="14"/>
    </row>
    <row r="37"/>
    <row r="38"/>
    <row r="39">
      <c r="A39" s="19" t="s">
        <v>292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6" width="7.63"/>
    <col customWidth="1" min="7" max="7" width="17.88"/>
    <col customWidth="1" min="8" max="8" width="13.5"/>
    <col customWidth="1" min="9" max="26" width="7.63"/>
  </cols>
  <sheetData>
    <row r="1">
      <c r="A1" s="8" t="s">
        <v>6</v>
      </c>
    </row>
    <row r="2">
      <c r="A2" s="41" t="s">
        <v>293</v>
      </c>
    </row>
    <row r="3">
      <c r="A3" s="9" t="s">
        <v>261</v>
      </c>
      <c r="G3" s="25" t="s">
        <v>294</v>
      </c>
      <c r="H3" s="33">
        <v>185468.81</v>
      </c>
    </row>
    <row r="4">
      <c r="G4" s="25" t="s">
        <v>195</v>
      </c>
      <c r="H4" s="33">
        <v>119745.1</v>
      </c>
    </row>
    <row r="5">
      <c r="A5" s="10"/>
      <c r="B5" s="11" t="s">
        <v>121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8157.31</f>
        <v>8157.31</v>
      </c>
      <c r="C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17">
        <f>((((((((((((((B7)+(B8))+(B9))+(B10))+(B11))+(B12))+(B13))+(B14))+(B15))+(B16))+(B17))+(B18))+(B19))+(B20))+(B21)</f>
        <v>119958.48</v>
      </c>
      <c r="C22" s="17">
        <f t="shared" si="1"/>
        <v>119958.48</v>
      </c>
    </row>
    <row r="23">
      <c r="A23" s="13" t="s">
        <v>2</v>
      </c>
      <c r="B23" s="17">
        <f>B22</f>
        <v>119958.48</v>
      </c>
      <c r="C23" s="17">
        <f t="shared" si="1"/>
        <v>119958.48</v>
      </c>
    </row>
    <row r="24">
      <c r="A24" s="13" t="s">
        <v>50</v>
      </c>
      <c r="B24" s="17">
        <f>(B23)-(0)</f>
        <v>119958.48</v>
      </c>
      <c r="C24" s="17">
        <f t="shared" si="1"/>
        <v>119958.48</v>
      </c>
    </row>
    <row r="25">
      <c r="A25" s="13" t="s">
        <v>51</v>
      </c>
      <c r="B25" s="14"/>
      <c r="C25" s="14"/>
    </row>
    <row r="26">
      <c r="A26" s="13" t="s">
        <v>114</v>
      </c>
      <c r="B26" s="14"/>
      <c r="C26" s="17" t="str">
        <f t="shared" ref="C26:C28" si="4">B26</f>
        <v/>
      </c>
    </row>
    <row r="27">
      <c r="A27" s="13" t="s">
        <v>115</v>
      </c>
      <c r="B27" s="17">
        <f>(B24)-(B26)</f>
        <v>119958.48</v>
      </c>
      <c r="C27" s="17">
        <f t="shared" si="4"/>
        <v>119958.48</v>
      </c>
    </row>
    <row r="28">
      <c r="A28" s="13" t="s">
        <v>4</v>
      </c>
      <c r="B28" s="17">
        <f>(B27)+(0)</f>
        <v>119958.48</v>
      </c>
      <c r="C28" s="17">
        <f t="shared" si="4"/>
        <v>119958.48</v>
      </c>
    </row>
    <row r="29">
      <c r="A29" s="13"/>
      <c r="B29" s="14"/>
      <c r="C29" s="14"/>
    </row>
    <row r="30"/>
    <row r="31"/>
    <row r="32">
      <c r="A32" s="19" t="s">
        <v>295</v>
      </c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2:C32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75"/>
    <col customWidth="1" min="7" max="26" width="7.63"/>
  </cols>
  <sheetData>
    <row r="1">
      <c r="A1" s="8" t="s">
        <v>6</v>
      </c>
    </row>
    <row r="2">
      <c r="A2" s="41" t="s">
        <v>296</v>
      </c>
    </row>
    <row r="3">
      <c r="A3" s="9" t="s">
        <v>261</v>
      </c>
      <c r="F3" s="26" t="s">
        <v>197</v>
      </c>
    </row>
    <row r="4">
      <c r="F4" s="5" t="s">
        <v>198</v>
      </c>
    </row>
    <row r="5">
      <c r="A5" s="10"/>
      <c r="B5" s="11" t="s">
        <v>122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17">
        <f>(B8)+(B9)</f>
        <v>25898.36</v>
      </c>
      <c r="C10" s="17">
        <f t="shared" si="1"/>
        <v>25898.36</v>
      </c>
    </row>
    <row r="11">
      <c r="A11" s="13" t="s">
        <v>49</v>
      </c>
      <c r="B11" s="17">
        <f>(B7)+(B10)</f>
        <v>25898.36</v>
      </c>
      <c r="C11" s="17">
        <f t="shared" si="1"/>
        <v>25898.36</v>
      </c>
    </row>
    <row r="12">
      <c r="A12" s="13" t="s">
        <v>2</v>
      </c>
      <c r="B12" s="17">
        <f>B11</f>
        <v>25898.36</v>
      </c>
      <c r="C12" s="17">
        <f t="shared" si="1"/>
        <v>25898.36</v>
      </c>
    </row>
    <row r="13">
      <c r="A13" s="13" t="s">
        <v>50</v>
      </c>
      <c r="B13" s="17">
        <f>(B12)-(0)</f>
        <v>25898.36</v>
      </c>
      <c r="C13" s="1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76</v>
      </c>
      <c r="B15" s="14"/>
      <c r="C15" s="15" t="str">
        <f t="shared" ref="C15:C33" si="2">B15</f>
        <v/>
      </c>
    </row>
    <row r="16">
      <c r="A16" s="13" t="s">
        <v>97</v>
      </c>
      <c r="B16" s="15">
        <f>12291.89</f>
        <v>12291.89</v>
      </c>
      <c r="C16" s="15">
        <f t="shared" si="2"/>
        <v>12291.89</v>
      </c>
    </row>
    <row r="17">
      <c r="A17" s="13" t="s">
        <v>98</v>
      </c>
      <c r="B17" s="14"/>
      <c r="C17" s="15" t="str">
        <f t="shared" si="2"/>
        <v/>
      </c>
    </row>
    <row r="18">
      <c r="A18" s="13" t="s">
        <v>99</v>
      </c>
      <c r="B18" s="15">
        <f>4039.14</f>
        <v>4039.14</v>
      </c>
      <c r="C18" s="15">
        <f t="shared" si="2"/>
        <v>4039.14</v>
      </c>
    </row>
    <row r="19">
      <c r="A19" s="13" t="s">
        <v>101</v>
      </c>
      <c r="B19" s="14"/>
      <c r="C19" s="15" t="str">
        <f t="shared" si="2"/>
        <v/>
      </c>
    </row>
    <row r="20">
      <c r="A20" s="13" t="s">
        <v>241</v>
      </c>
      <c r="B20" s="15">
        <f>497.45</f>
        <v>497.45</v>
      </c>
      <c r="C20" s="15">
        <f t="shared" si="2"/>
        <v>497.45</v>
      </c>
    </row>
    <row r="21">
      <c r="A21" s="13" t="s">
        <v>104</v>
      </c>
      <c r="B21" s="15">
        <f>74.52</f>
        <v>74.52</v>
      </c>
      <c r="C21" s="15">
        <f t="shared" si="2"/>
        <v>74.52</v>
      </c>
    </row>
    <row r="22">
      <c r="A22" s="13" t="s">
        <v>105</v>
      </c>
      <c r="B22" s="17">
        <f>((B19)+(B20))+(B21)</f>
        <v>571.97</v>
      </c>
      <c r="C22" s="17">
        <f t="shared" si="2"/>
        <v>571.97</v>
      </c>
    </row>
    <row r="23">
      <c r="A23" s="13" t="s">
        <v>106</v>
      </c>
      <c r="B23" s="15">
        <f>55</f>
        <v>55</v>
      </c>
      <c r="C23" s="15">
        <f t="shared" si="2"/>
        <v>55</v>
      </c>
    </row>
    <row r="24">
      <c r="A24" s="13" t="s">
        <v>107</v>
      </c>
      <c r="B24" s="15">
        <f>4378.09</f>
        <v>4378.09</v>
      </c>
      <c r="C24" s="15">
        <f t="shared" si="2"/>
        <v>4378.09</v>
      </c>
    </row>
    <row r="25">
      <c r="A25" s="13" t="s">
        <v>108</v>
      </c>
      <c r="B25" s="15">
        <f>506.25</f>
        <v>506.25</v>
      </c>
      <c r="C25" s="15">
        <f t="shared" si="2"/>
        <v>506.25</v>
      </c>
    </row>
    <row r="26">
      <c r="A26" s="13" t="s">
        <v>109</v>
      </c>
      <c r="B26" s="15">
        <f>321.3</f>
        <v>321.3</v>
      </c>
      <c r="C26" s="15">
        <f t="shared" si="2"/>
        <v>321.3</v>
      </c>
    </row>
    <row r="27">
      <c r="A27" s="13" t="s">
        <v>110</v>
      </c>
      <c r="B27" s="17">
        <f>((((((B17)+(B18))+(B22))+(B23))+(B24))+(B25))+(B26)</f>
        <v>9871.75</v>
      </c>
      <c r="C27" s="17">
        <f t="shared" si="2"/>
        <v>9871.75</v>
      </c>
    </row>
    <row r="28">
      <c r="A28" s="13" t="s">
        <v>111</v>
      </c>
      <c r="B28" s="15">
        <f>27.93</f>
        <v>27.93</v>
      </c>
      <c r="C28" s="15">
        <f t="shared" si="2"/>
        <v>27.93</v>
      </c>
    </row>
    <row r="29">
      <c r="A29" s="13" t="s">
        <v>112</v>
      </c>
      <c r="B29" s="17">
        <f>((B16)+(B27))+(B28)</f>
        <v>22191.57</v>
      </c>
      <c r="C29" s="17">
        <f t="shared" si="2"/>
        <v>22191.57</v>
      </c>
    </row>
    <row r="30">
      <c r="A30" s="13" t="s">
        <v>113</v>
      </c>
      <c r="B30" s="17">
        <f>(B15)+(B29)</f>
        <v>22191.57</v>
      </c>
      <c r="C30" s="17">
        <f t="shared" si="2"/>
        <v>22191.57</v>
      </c>
    </row>
    <row r="31">
      <c r="A31" s="13" t="s">
        <v>114</v>
      </c>
      <c r="B31" s="17">
        <f>B30</f>
        <v>22191.57</v>
      </c>
      <c r="C31" s="17">
        <f t="shared" si="2"/>
        <v>22191.57</v>
      </c>
    </row>
    <row r="32">
      <c r="A32" s="13" t="s">
        <v>115</v>
      </c>
      <c r="B32" s="17">
        <f>(B13)-(B31)</f>
        <v>3706.79</v>
      </c>
      <c r="C32" s="17">
        <f t="shared" si="2"/>
        <v>3706.79</v>
      </c>
    </row>
    <row r="33">
      <c r="A33" s="13" t="s">
        <v>4</v>
      </c>
      <c r="B33" s="17">
        <f>(B32)+(0)</f>
        <v>3706.79</v>
      </c>
      <c r="C33" s="17">
        <f t="shared" si="2"/>
        <v>3706.79</v>
      </c>
    </row>
    <row r="34">
      <c r="A34" s="13"/>
      <c r="B34" s="14"/>
      <c r="C34" s="14"/>
    </row>
    <row r="35"/>
    <row r="36"/>
    <row r="37">
      <c r="A37" s="19" t="s">
        <v>297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9.0"/>
    <col customWidth="1" min="4" max="4" width="9.38"/>
    <col customWidth="1" min="5" max="5" width="9.0"/>
    <col customWidth="1" min="6" max="7" width="9.75"/>
    <col customWidth="1" min="8" max="8" width="8.25"/>
    <col customWidth="1" min="9" max="9" width="9.75"/>
    <col customWidth="1" min="10" max="10" width="9.0"/>
    <col customWidth="1" min="11" max="12" width="9.75"/>
    <col customWidth="1" min="13" max="14" width="9.0"/>
    <col customWidth="1" min="15" max="26" width="7.63"/>
  </cols>
  <sheetData>
    <row r="1">
      <c r="A1" s="8" t="s">
        <v>6</v>
      </c>
    </row>
    <row r="2">
      <c r="A2" s="8" t="s">
        <v>298</v>
      </c>
    </row>
    <row r="3">
      <c r="A3" s="9" t="s">
        <v>299</v>
      </c>
    </row>
    <row r="5">
      <c r="A5" s="10"/>
      <c r="B5" s="11" t="s">
        <v>300</v>
      </c>
      <c r="C5" s="11" t="s">
        <v>301</v>
      </c>
      <c r="D5" s="11" t="s">
        <v>302</v>
      </c>
      <c r="E5" s="11" t="s">
        <v>303</v>
      </c>
      <c r="F5" s="11" t="s">
        <v>304</v>
      </c>
      <c r="G5" s="11" t="s">
        <v>305</v>
      </c>
      <c r="H5" s="11" t="s">
        <v>306</v>
      </c>
      <c r="I5" s="11" t="s">
        <v>307</v>
      </c>
      <c r="J5" s="11" t="s">
        <v>308</v>
      </c>
      <c r="K5" s="11" t="s">
        <v>309</v>
      </c>
      <c r="L5" s="11" t="s">
        <v>310</v>
      </c>
      <c r="M5" s="11" t="s">
        <v>311</v>
      </c>
      <c r="N5" s="11" t="s">
        <v>9</v>
      </c>
    </row>
    <row r="6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>
      <c r="A7" s="13" t="s">
        <v>268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>
        <f>18519.48</f>
        <v>18519.48</v>
      </c>
      <c r="N7" s="15">
        <f t="shared" ref="N7:N36" si="1">(((((((((((B7)+(C7))+(D7))+(E7))+(F7))+(G7))+(H7))+(I7))+(J7))+(K7))+(L7))+(M7)</f>
        <v>18519.48</v>
      </c>
    </row>
    <row r="8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si="1"/>
        <v>0</v>
      </c>
    </row>
    <row r="9">
      <c r="A9" s="13" t="s">
        <v>17</v>
      </c>
      <c r="B9" s="15">
        <f>-1197.02</f>
        <v>-1197.02</v>
      </c>
      <c r="C9" s="14"/>
      <c r="D9" s="14"/>
      <c r="E9" s="14"/>
      <c r="F9" s="14"/>
      <c r="G9" s="14"/>
      <c r="H9" s="15">
        <f>9591.76</f>
        <v>9591.76</v>
      </c>
      <c r="I9" s="14"/>
      <c r="J9" s="14"/>
      <c r="K9" s="14"/>
      <c r="L9" s="15">
        <f>4698</f>
        <v>4698</v>
      </c>
      <c r="M9" s="15">
        <f>-896.54</f>
        <v>-896.54</v>
      </c>
      <c r="N9" s="15">
        <f t="shared" si="1"/>
        <v>12196.2</v>
      </c>
    </row>
    <row r="10">
      <c r="A10" s="13" t="s">
        <v>18</v>
      </c>
      <c r="B10" s="17">
        <f t="shared" ref="B10:M10" si="2">(B8)+(B9)</f>
        <v>-1197.02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si="2"/>
        <v>9591.76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4698</v>
      </c>
      <c r="M10" s="17">
        <f t="shared" si="2"/>
        <v>-896.54</v>
      </c>
      <c r="N10" s="1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"/>
        <v>0</v>
      </c>
    </row>
    <row r="12">
      <c r="A12" s="13" t="s">
        <v>25</v>
      </c>
      <c r="B12" s="14"/>
      <c r="C12" s="14"/>
      <c r="D12" s="15">
        <f t="shared" ref="D12:D13" si="3">5645.83</f>
        <v>5645.83</v>
      </c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"/>
        <v>5645.83</v>
      </c>
    </row>
    <row r="13">
      <c r="A13" s="13" t="s">
        <v>26</v>
      </c>
      <c r="B13" s="14"/>
      <c r="C13" s="14"/>
      <c r="D13" s="15">
        <f t="shared" si="3"/>
        <v>5645.83</v>
      </c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"/>
        <v>5645.83</v>
      </c>
    </row>
    <row r="14">
      <c r="A14" s="13" t="s">
        <v>28</v>
      </c>
      <c r="B14" s="14"/>
      <c r="C14" s="14"/>
      <c r="D14" s="15">
        <f>5922.59</f>
        <v>5922.59</v>
      </c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"/>
        <v>5922.59</v>
      </c>
    </row>
    <row r="15">
      <c r="A15" s="13" t="s">
        <v>29</v>
      </c>
      <c r="B15" s="14"/>
      <c r="C15" s="14"/>
      <c r="D15" s="15">
        <f>3640.93</f>
        <v>3640.93</v>
      </c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"/>
        <v>3640.93</v>
      </c>
    </row>
    <row r="16">
      <c r="A16" s="13" t="s">
        <v>30</v>
      </c>
      <c r="B16" s="14"/>
      <c r="C16" s="14"/>
      <c r="D16" s="15">
        <f>5649.83</f>
        <v>5649.83</v>
      </c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"/>
        <v>5649.83</v>
      </c>
    </row>
    <row r="17">
      <c r="A17" s="13" t="s">
        <v>31</v>
      </c>
      <c r="B17" s="14"/>
      <c r="C17" s="14"/>
      <c r="D17" s="15">
        <f>2489.79</f>
        <v>2489.79</v>
      </c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"/>
        <v>2489.79</v>
      </c>
    </row>
    <row r="18">
      <c r="A18" s="13" t="s">
        <v>34</v>
      </c>
      <c r="B18" s="14"/>
      <c r="C18" s="14"/>
      <c r="D18" s="15">
        <f>20672.46</f>
        <v>20672.46</v>
      </c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"/>
        <v>20672.46</v>
      </c>
    </row>
    <row r="19">
      <c r="A19" s="13" t="s">
        <v>35</v>
      </c>
      <c r="B19" s="14"/>
      <c r="C19" s="14"/>
      <c r="D19" s="15">
        <f>27618.02</f>
        <v>27618.02</v>
      </c>
      <c r="E19" s="14"/>
      <c r="F19" s="14"/>
      <c r="G19" s="14"/>
      <c r="H19" s="14"/>
      <c r="I19" s="14"/>
      <c r="J19" s="14"/>
      <c r="K19" s="14"/>
      <c r="L19" s="14"/>
      <c r="M19" s="14"/>
      <c r="N19" s="15">
        <f t="shared" si="1"/>
        <v>27618.02</v>
      </c>
    </row>
    <row r="20">
      <c r="A20" s="13" t="s">
        <v>36</v>
      </c>
      <c r="B20" s="14"/>
      <c r="C20" s="14"/>
      <c r="D20" s="15">
        <f>17602.56</f>
        <v>17602.56</v>
      </c>
      <c r="E20" s="14"/>
      <c r="F20" s="14"/>
      <c r="G20" s="14"/>
      <c r="H20" s="14"/>
      <c r="I20" s="14"/>
      <c r="J20" s="14"/>
      <c r="K20" s="14"/>
      <c r="L20" s="14"/>
      <c r="M20" s="14"/>
      <c r="N20" s="15">
        <f t="shared" si="1"/>
        <v>17602.56</v>
      </c>
    </row>
    <row r="21">
      <c r="A21" s="13" t="s">
        <v>312</v>
      </c>
      <c r="B21" s="14"/>
      <c r="C21" s="14"/>
      <c r="D21" s="15">
        <f t="shared" ref="D21:D22" si="4">5629.45</f>
        <v>5629.45</v>
      </c>
      <c r="E21" s="14"/>
      <c r="F21" s="14"/>
      <c r="G21" s="14"/>
      <c r="H21" s="14"/>
      <c r="I21" s="14"/>
      <c r="J21" s="14"/>
      <c r="K21" s="14"/>
      <c r="L21" s="14"/>
      <c r="M21" s="14"/>
      <c r="N21" s="15">
        <f t="shared" si="1"/>
        <v>5629.45</v>
      </c>
    </row>
    <row r="22">
      <c r="A22" s="13" t="s">
        <v>313</v>
      </c>
      <c r="B22" s="14"/>
      <c r="C22" s="14"/>
      <c r="D22" s="15">
        <f t="shared" si="4"/>
        <v>5629.45</v>
      </c>
      <c r="E22" s="14"/>
      <c r="F22" s="14"/>
      <c r="G22" s="14"/>
      <c r="H22" s="14"/>
      <c r="I22" s="14"/>
      <c r="J22" s="14"/>
      <c r="K22" s="14"/>
      <c r="L22" s="14"/>
      <c r="M22" s="14"/>
      <c r="N22" s="15">
        <f t="shared" si="1"/>
        <v>5629.45</v>
      </c>
    </row>
    <row r="23">
      <c r="A23" s="13" t="s">
        <v>314</v>
      </c>
      <c r="B23" s="14"/>
      <c r="C23" s="14"/>
      <c r="D23" s="15">
        <f>22928.15</f>
        <v>22928.15</v>
      </c>
      <c r="E23" s="14"/>
      <c r="F23" s="14"/>
      <c r="G23" s="14"/>
      <c r="H23" s="14"/>
      <c r="I23" s="14"/>
      <c r="J23" s="14"/>
      <c r="K23" s="14"/>
      <c r="L23" s="14"/>
      <c r="M23" s="14"/>
      <c r="N23" s="15">
        <f t="shared" si="1"/>
        <v>22928.15</v>
      </c>
    </row>
    <row r="24">
      <c r="A24" s="13" t="s">
        <v>37</v>
      </c>
      <c r="B24" s="14"/>
      <c r="C24" s="14"/>
      <c r="D24" s="15">
        <f>41407.07</f>
        <v>41407.07</v>
      </c>
      <c r="E24" s="14"/>
      <c r="F24" s="14"/>
      <c r="G24" s="14"/>
      <c r="H24" s="14"/>
      <c r="I24" s="14"/>
      <c r="J24" s="14"/>
      <c r="K24" s="14"/>
      <c r="L24" s="14"/>
      <c r="M24" s="14"/>
      <c r="N24" s="15">
        <f t="shared" si="1"/>
        <v>41407.07</v>
      </c>
    </row>
    <row r="25">
      <c r="A25" s="13" t="s">
        <v>38</v>
      </c>
      <c r="B25" s="14"/>
      <c r="C25" s="14"/>
      <c r="D25" s="15">
        <f>11131.03</f>
        <v>11131.03</v>
      </c>
      <c r="E25" s="14"/>
      <c r="F25" s="14"/>
      <c r="G25" s="14"/>
      <c r="H25" s="14"/>
      <c r="I25" s="14"/>
      <c r="J25" s="14"/>
      <c r="K25" s="14"/>
      <c r="L25" s="14"/>
      <c r="M25" s="14"/>
      <c r="N25" s="15">
        <f t="shared" si="1"/>
        <v>11131.03</v>
      </c>
    </row>
    <row r="26">
      <c r="A26" s="13" t="s">
        <v>39</v>
      </c>
      <c r="B26" s="14"/>
      <c r="C26" s="14"/>
      <c r="D26" s="15">
        <f>3642.43</f>
        <v>3642.43</v>
      </c>
      <c r="E26" s="14"/>
      <c r="F26" s="14"/>
      <c r="G26" s="14"/>
      <c r="H26" s="14"/>
      <c r="I26" s="14"/>
      <c r="J26" s="14"/>
      <c r="K26" s="14"/>
      <c r="L26" s="14"/>
      <c r="M26" s="14"/>
      <c r="N26" s="15">
        <f t="shared" si="1"/>
        <v>3642.43</v>
      </c>
    </row>
    <row r="27">
      <c r="A27" s="13" t="s">
        <v>40</v>
      </c>
      <c r="B27" s="17">
        <f t="shared" ref="B27:M27" si="5">(((((((((((((((B11)+(B12))+(B13))+(B14))+(B15))+(B16))+(B17))+(B18))+(B19))+(B20))+(B21))+(B22))+(B23))+(B24))+(B25))+(B26)</f>
        <v>0</v>
      </c>
      <c r="C27" s="17">
        <f t="shared" si="5"/>
        <v>0</v>
      </c>
      <c r="D27" s="17">
        <f t="shared" si="5"/>
        <v>185255.42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1"/>
        <v>185255.42</v>
      </c>
    </row>
    <row r="28">
      <c r="A28" s="13" t="s">
        <v>41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>
        <f t="shared" si="1"/>
        <v>0</v>
      </c>
    </row>
    <row r="29">
      <c r="A29" s="13" t="s">
        <v>43</v>
      </c>
      <c r="B29" s="14"/>
      <c r="C29" s="14"/>
      <c r="D29" s="15">
        <f>58414.09</f>
        <v>58414.09</v>
      </c>
      <c r="E29" s="14"/>
      <c r="F29" s="15">
        <f>37836.33</f>
        <v>37836.33</v>
      </c>
      <c r="G29" s="15">
        <f>-2064.67</f>
        <v>-2064.67</v>
      </c>
      <c r="H29" s="15">
        <f>13691.41</f>
        <v>13691.41</v>
      </c>
      <c r="I29" s="14"/>
      <c r="J29" s="15">
        <f>19251.35</f>
        <v>19251.35</v>
      </c>
      <c r="K29" s="14"/>
      <c r="L29" s="14"/>
      <c r="M29" s="14"/>
      <c r="N29" s="15">
        <f t="shared" si="1"/>
        <v>127128.51</v>
      </c>
    </row>
    <row r="30">
      <c r="A30" s="13" t="s">
        <v>44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>
        <f>46659.21</f>
        <v>46659.21</v>
      </c>
      <c r="N30" s="15">
        <f t="shared" si="1"/>
        <v>46659.21</v>
      </c>
    </row>
    <row r="31">
      <c r="A31" s="13" t="s">
        <v>46</v>
      </c>
      <c r="B31" s="14"/>
      <c r="C31" s="14"/>
      <c r="D31" s="14"/>
      <c r="E31" s="14"/>
      <c r="F31" s="14"/>
      <c r="G31" s="14"/>
      <c r="H31" s="14"/>
      <c r="I31" s="14"/>
      <c r="J31" s="15">
        <f>1617.68</f>
        <v>1617.68</v>
      </c>
      <c r="K31" s="14"/>
      <c r="L31" s="14"/>
      <c r="M31" s="14"/>
      <c r="N31" s="15">
        <f t="shared" si="1"/>
        <v>1617.68</v>
      </c>
    </row>
    <row r="32">
      <c r="A32" s="13" t="s">
        <v>47</v>
      </c>
      <c r="B32" s="14"/>
      <c r="C32" s="14"/>
      <c r="D32" s="14"/>
      <c r="E32" s="14"/>
      <c r="F32" s="14"/>
      <c r="G32" s="14"/>
      <c r="H32" s="14"/>
      <c r="I32" s="14"/>
      <c r="J32" s="15">
        <f>557.82</f>
        <v>557.82</v>
      </c>
      <c r="K32" s="14"/>
      <c r="L32" s="14"/>
      <c r="M32" s="14"/>
      <c r="N32" s="15">
        <f t="shared" si="1"/>
        <v>557.82</v>
      </c>
    </row>
    <row r="33">
      <c r="A33" s="13" t="s">
        <v>48</v>
      </c>
      <c r="B33" s="17">
        <f t="shared" ref="B33:M33" si="6">(((B29)+(B30))+(B31))+(B32)</f>
        <v>0</v>
      </c>
      <c r="C33" s="17">
        <f t="shared" si="6"/>
        <v>0</v>
      </c>
      <c r="D33" s="17">
        <f t="shared" si="6"/>
        <v>58414.09</v>
      </c>
      <c r="E33" s="17">
        <f t="shared" si="6"/>
        <v>0</v>
      </c>
      <c r="F33" s="17">
        <f t="shared" si="6"/>
        <v>37836.33</v>
      </c>
      <c r="G33" s="17">
        <f t="shared" si="6"/>
        <v>-2064.67</v>
      </c>
      <c r="H33" s="17">
        <f t="shared" si="6"/>
        <v>13691.41</v>
      </c>
      <c r="I33" s="17">
        <f t="shared" si="6"/>
        <v>0</v>
      </c>
      <c r="J33" s="17">
        <f t="shared" si="6"/>
        <v>21426.85</v>
      </c>
      <c r="K33" s="17">
        <f t="shared" si="6"/>
        <v>0</v>
      </c>
      <c r="L33" s="17">
        <f t="shared" si="6"/>
        <v>0</v>
      </c>
      <c r="M33" s="17">
        <f t="shared" si="6"/>
        <v>46659.21</v>
      </c>
      <c r="N33" s="17">
        <f t="shared" si="1"/>
        <v>175963.22</v>
      </c>
    </row>
    <row r="34">
      <c r="A34" s="13" t="s">
        <v>49</v>
      </c>
      <c r="B34" s="17">
        <f t="shared" ref="B34:M34" si="7">(B28)+(B33)</f>
        <v>0</v>
      </c>
      <c r="C34" s="17">
        <f t="shared" si="7"/>
        <v>0</v>
      </c>
      <c r="D34" s="17">
        <f t="shared" si="7"/>
        <v>58414.09</v>
      </c>
      <c r="E34" s="17">
        <f t="shared" si="7"/>
        <v>0</v>
      </c>
      <c r="F34" s="17">
        <f t="shared" si="7"/>
        <v>37836.33</v>
      </c>
      <c r="G34" s="17">
        <f t="shared" si="7"/>
        <v>-2064.67</v>
      </c>
      <c r="H34" s="17">
        <f t="shared" si="7"/>
        <v>13691.41</v>
      </c>
      <c r="I34" s="17">
        <f t="shared" si="7"/>
        <v>0</v>
      </c>
      <c r="J34" s="17">
        <f t="shared" si="7"/>
        <v>21426.85</v>
      </c>
      <c r="K34" s="17">
        <f t="shared" si="7"/>
        <v>0</v>
      </c>
      <c r="L34" s="17">
        <f t="shared" si="7"/>
        <v>0</v>
      </c>
      <c r="M34" s="17">
        <f t="shared" si="7"/>
        <v>46659.21</v>
      </c>
      <c r="N34" s="17">
        <f t="shared" si="1"/>
        <v>175963.22</v>
      </c>
    </row>
    <row r="35">
      <c r="A35" s="13" t="s">
        <v>2</v>
      </c>
      <c r="B35" s="17">
        <f t="shared" ref="B35:M35" si="8">(((B7)+(B10))+(B27))+(B34)</f>
        <v>-1197.02</v>
      </c>
      <c r="C35" s="17">
        <f t="shared" si="8"/>
        <v>0</v>
      </c>
      <c r="D35" s="17">
        <f t="shared" si="8"/>
        <v>243669.51</v>
      </c>
      <c r="E35" s="17">
        <f t="shared" si="8"/>
        <v>0</v>
      </c>
      <c r="F35" s="17">
        <f t="shared" si="8"/>
        <v>37836.33</v>
      </c>
      <c r="G35" s="17">
        <f t="shared" si="8"/>
        <v>-2064.67</v>
      </c>
      <c r="H35" s="17">
        <f t="shared" si="8"/>
        <v>23283.17</v>
      </c>
      <c r="I35" s="17">
        <f t="shared" si="8"/>
        <v>0</v>
      </c>
      <c r="J35" s="17">
        <f t="shared" si="8"/>
        <v>21426.85</v>
      </c>
      <c r="K35" s="17">
        <f t="shared" si="8"/>
        <v>0</v>
      </c>
      <c r="L35" s="17">
        <f t="shared" si="8"/>
        <v>4698</v>
      </c>
      <c r="M35" s="17">
        <f t="shared" si="8"/>
        <v>64282.15</v>
      </c>
      <c r="N35" s="17">
        <f t="shared" si="1"/>
        <v>391934.32</v>
      </c>
    </row>
    <row r="36">
      <c r="A36" s="40" t="s">
        <v>50</v>
      </c>
      <c r="B36" s="27">
        <f t="shared" ref="B36:M36" si="9">(B35)-(0)</f>
        <v>-1197.02</v>
      </c>
      <c r="C36" s="27">
        <f t="shared" si="9"/>
        <v>0</v>
      </c>
      <c r="D36" s="27">
        <f t="shared" si="9"/>
        <v>243669.51</v>
      </c>
      <c r="E36" s="27">
        <f t="shared" si="9"/>
        <v>0</v>
      </c>
      <c r="F36" s="27">
        <f t="shared" si="9"/>
        <v>37836.33</v>
      </c>
      <c r="G36" s="27">
        <f t="shared" si="9"/>
        <v>-2064.67</v>
      </c>
      <c r="H36" s="27">
        <f t="shared" si="9"/>
        <v>23283.17</v>
      </c>
      <c r="I36" s="27">
        <f t="shared" si="9"/>
        <v>0</v>
      </c>
      <c r="J36" s="27">
        <f t="shared" si="9"/>
        <v>21426.85</v>
      </c>
      <c r="K36" s="27">
        <f t="shared" si="9"/>
        <v>0</v>
      </c>
      <c r="L36" s="27">
        <f t="shared" si="9"/>
        <v>4698</v>
      </c>
      <c r="M36" s="27">
        <f t="shared" si="9"/>
        <v>64282.15</v>
      </c>
      <c r="N36" s="27">
        <f t="shared" si="1"/>
        <v>391934.32</v>
      </c>
    </row>
    <row r="37">
      <c r="A37" s="13" t="s">
        <v>51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>
      <c r="A38" s="13" t="s">
        <v>52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 t="shared" ref="N38:N100" si="10">(((((((((((B38)+(C38))+(D38))+(E38))+(F38))+(G38))+(H38))+(I38))+(J38))+(K38))+(L38))+(M38)</f>
        <v>0</v>
      </c>
    </row>
    <row r="39">
      <c r="A39" s="13" t="s">
        <v>53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f t="shared" si="10"/>
        <v>0</v>
      </c>
    </row>
    <row r="40">
      <c r="A40" s="13" t="s">
        <v>54</v>
      </c>
      <c r="B40" s="14"/>
      <c r="C40" s="14"/>
      <c r="D40" s="14"/>
      <c r="E40" s="14"/>
      <c r="F40" s="15">
        <f>3000</f>
        <v>3000</v>
      </c>
      <c r="G40" s="14"/>
      <c r="H40" s="14"/>
      <c r="I40" s="14"/>
      <c r="J40" s="14"/>
      <c r="K40" s="14"/>
      <c r="L40" s="14"/>
      <c r="M40" s="14"/>
      <c r="N40" s="15">
        <f t="shared" si="10"/>
        <v>3000</v>
      </c>
    </row>
    <row r="41">
      <c r="A41" s="13" t="s">
        <v>55</v>
      </c>
      <c r="B41" s="15">
        <f>57</f>
        <v>57</v>
      </c>
      <c r="C41" s="15">
        <f>119.1</f>
        <v>119.1</v>
      </c>
      <c r="D41" s="15">
        <f>219</f>
        <v>219</v>
      </c>
      <c r="E41" s="15">
        <f>87</f>
        <v>87</v>
      </c>
      <c r="F41" s="15">
        <f>104</f>
        <v>104</v>
      </c>
      <c r="G41" s="15">
        <f>177</f>
        <v>177</v>
      </c>
      <c r="H41" s="14"/>
      <c r="I41" s="15">
        <f>288.5</f>
        <v>288.5</v>
      </c>
      <c r="J41" s="15">
        <f>90</f>
        <v>90</v>
      </c>
      <c r="K41" s="15">
        <f>312.57</f>
        <v>312.57</v>
      </c>
      <c r="L41" s="15">
        <f>195</f>
        <v>195</v>
      </c>
      <c r="M41" s="15">
        <f>225</f>
        <v>225</v>
      </c>
      <c r="N41" s="15">
        <f t="shared" si="10"/>
        <v>1874.17</v>
      </c>
    </row>
    <row r="42">
      <c r="A42" s="13" t="s">
        <v>56</v>
      </c>
      <c r="B42" s="17">
        <f t="shared" ref="B42:M42" si="11">((B39)+(B40))+(B41)</f>
        <v>57</v>
      </c>
      <c r="C42" s="17">
        <f t="shared" si="11"/>
        <v>119.1</v>
      </c>
      <c r="D42" s="17">
        <f t="shared" si="11"/>
        <v>219</v>
      </c>
      <c r="E42" s="17">
        <f t="shared" si="11"/>
        <v>87</v>
      </c>
      <c r="F42" s="17">
        <f t="shared" si="11"/>
        <v>3104</v>
      </c>
      <c r="G42" s="17">
        <f t="shared" si="11"/>
        <v>177</v>
      </c>
      <c r="H42" s="17">
        <f t="shared" si="11"/>
        <v>0</v>
      </c>
      <c r="I42" s="17">
        <f t="shared" si="11"/>
        <v>288.5</v>
      </c>
      <c r="J42" s="17">
        <f t="shared" si="11"/>
        <v>90</v>
      </c>
      <c r="K42" s="17">
        <f t="shared" si="11"/>
        <v>312.57</v>
      </c>
      <c r="L42" s="17">
        <f t="shared" si="11"/>
        <v>195</v>
      </c>
      <c r="M42" s="17">
        <f t="shared" si="11"/>
        <v>225</v>
      </c>
      <c r="N42" s="17">
        <f t="shared" si="10"/>
        <v>4874.17</v>
      </c>
    </row>
    <row r="43">
      <c r="A43" s="13" t="s">
        <v>57</v>
      </c>
      <c r="B43" s="14"/>
      <c r="C43" s="15">
        <f>273.9</f>
        <v>273.9</v>
      </c>
      <c r="D43" s="15">
        <f>129</f>
        <v>129</v>
      </c>
      <c r="E43" s="15">
        <f>300</f>
        <v>300</v>
      </c>
      <c r="F43" s="15">
        <f>713</f>
        <v>713</v>
      </c>
      <c r="G43" s="15">
        <f>174</f>
        <v>174</v>
      </c>
      <c r="H43" s="15">
        <f>354</f>
        <v>354</v>
      </c>
      <c r="I43" s="15">
        <f>683.7</f>
        <v>683.7</v>
      </c>
      <c r="J43" s="15">
        <f>390</f>
        <v>390</v>
      </c>
      <c r="K43" s="15">
        <f>579</f>
        <v>579</v>
      </c>
      <c r="L43" s="15">
        <f>165</f>
        <v>165</v>
      </c>
      <c r="M43" s="15">
        <f>570</f>
        <v>570</v>
      </c>
      <c r="N43" s="15">
        <f t="shared" si="10"/>
        <v>4331.6</v>
      </c>
    </row>
    <row r="44">
      <c r="A44" s="13" t="s">
        <v>60</v>
      </c>
      <c r="B44" s="15">
        <f>36</f>
        <v>36</v>
      </c>
      <c r="C44" s="14"/>
      <c r="D44" s="15">
        <f>36</f>
        <v>36</v>
      </c>
      <c r="E44" s="15">
        <f>99</f>
        <v>99</v>
      </c>
      <c r="F44" s="15">
        <f>166.99</f>
        <v>166.99</v>
      </c>
      <c r="G44" s="14"/>
      <c r="H44" s="14"/>
      <c r="I44" s="14"/>
      <c r="J44" s="15">
        <f>772.5</f>
        <v>772.5</v>
      </c>
      <c r="K44" s="15">
        <f t="shared" ref="K44:M44" si="12">50</f>
        <v>50</v>
      </c>
      <c r="L44" s="15">
        <f t="shared" si="12"/>
        <v>50</v>
      </c>
      <c r="M44" s="15">
        <f t="shared" si="12"/>
        <v>50</v>
      </c>
      <c r="N44" s="15">
        <f t="shared" si="10"/>
        <v>1260.49</v>
      </c>
    </row>
    <row r="45">
      <c r="A45" s="13" t="s">
        <v>61</v>
      </c>
      <c r="B45" s="15">
        <f>2769.86</f>
        <v>2769.86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>
        <f t="shared" si="10"/>
        <v>2769.86</v>
      </c>
    </row>
    <row r="46">
      <c r="A46" s="13" t="s">
        <v>62</v>
      </c>
      <c r="B46" s="15">
        <f>1552.92</f>
        <v>1552.92</v>
      </c>
      <c r="C46" s="15">
        <f>271.84</f>
        <v>271.84</v>
      </c>
      <c r="D46" s="15">
        <f>90.61</f>
        <v>90.61</v>
      </c>
      <c r="E46" s="15">
        <f>271.14</f>
        <v>271.14</v>
      </c>
      <c r="F46" s="15">
        <f>1177.95</f>
        <v>1177.95</v>
      </c>
      <c r="G46" s="15">
        <f>45.31</f>
        <v>45.31</v>
      </c>
      <c r="H46" s="15">
        <f>271.84</f>
        <v>271.84</v>
      </c>
      <c r="I46" s="14"/>
      <c r="J46" s="15">
        <f>1336.54</f>
        <v>1336.54</v>
      </c>
      <c r="K46" s="15">
        <f>90.61</f>
        <v>90.61</v>
      </c>
      <c r="L46" s="14"/>
      <c r="M46" s="15">
        <f>2401.23</f>
        <v>2401.23</v>
      </c>
      <c r="N46" s="15">
        <f t="shared" si="10"/>
        <v>7509.99</v>
      </c>
    </row>
    <row r="47">
      <c r="A47" s="13" t="s">
        <v>63</v>
      </c>
      <c r="B47" s="15">
        <f>105.04</f>
        <v>105.04</v>
      </c>
      <c r="C47" s="14"/>
      <c r="D47" s="15">
        <f>557.18</f>
        <v>557.18</v>
      </c>
      <c r="E47" s="15">
        <f>338</f>
        <v>338</v>
      </c>
      <c r="F47" s="14"/>
      <c r="G47" s="14"/>
      <c r="H47" s="14"/>
      <c r="I47" s="14"/>
      <c r="J47" s="14"/>
      <c r="K47" s="14"/>
      <c r="L47" s="14"/>
      <c r="M47" s="14"/>
      <c r="N47" s="15">
        <f t="shared" si="10"/>
        <v>1000.22</v>
      </c>
    </row>
    <row r="48">
      <c r="A48" s="13" t="s">
        <v>65</v>
      </c>
      <c r="B48" s="14"/>
      <c r="C48" s="14"/>
      <c r="D48" s="14"/>
      <c r="E48" s="14"/>
      <c r="F48" s="14"/>
      <c r="G48" s="14"/>
      <c r="H48" s="14"/>
      <c r="I48" s="14"/>
      <c r="J48" s="15">
        <f>6.21</f>
        <v>6.21</v>
      </c>
      <c r="K48" s="15">
        <f>6.9</f>
        <v>6.9</v>
      </c>
      <c r="L48" s="15">
        <f>224.14</f>
        <v>224.14</v>
      </c>
      <c r="M48" s="14"/>
      <c r="N48" s="15">
        <f t="shared" si="10"/>
        <v>237.25</v>
      </c>
    </row>
    <row r="49">
      <c r="A49" s="13" t="s">
        <v>315</v>
      </c>
      <c r="B49" s="14"/>
      <c r="C49" s="14"/>
      <c r="D49" s="14"/>
      <c r="E49" s="14"/>
      <c r="F49" s="15">
        <f>58.35</f>
        <v>58.35</v>
      </c>
      <c r="G49" s="14"/>
      <c r="H49" s="14"/>
      <c r="I49" s="14"/>
      <c r="J49" s="14"/>
      <c r="K49" s="14"/>
      <c r="L49" s="14"/>
      <c r="M49" s="14"/>
      <c r="N49" s="15">
        <f t="shared" si="10"/>
        <v>58.35</v>
      </c>
    </row>
    <row r="50">
      <c r="A50" s="13" t="s">
        <v>66</v>
      </c>
      <c r="B50" s="14"/>
      <c r="C50" s="15">
        <f>90</f>
        <v>90</v>
      </c>
      <c r="D50" s="14"/>
      <c r="E50" s="14"/>
      <c r="F50" s="15">
        <f t="shared" ref="F50:M50" si="13">99</f>
        <v>99</v>
      </c>
      <c r="G50" s="15">
        <f t="shared" si="13"/>
        <v>99</v>
      </c>
      <c r="H50" s="15">
        <f t="shared" si="13"/>
        <v>99</v>
      </c>
      <c r="I50" s="15">
        <f t="shared" si="13"/>
        <v>99</v>
      </c>
      <c r="J50" s="15">
        <f t="shared" si="13"/>
        <v>99</v>
      </c>
      <c r="K50" s="15">
        <f t="shared" si="13"/>
        <v>99</v>
      </c>
      <c r="L50" s="15">
        <f t="shared" si="13"/>
        <v>99</v>
      </c>
      <c r="M50" s="15">
        <f t="shared" si="13"/>
        <v>99</v>
      </c>
      <c r="N50" s="15">
        <f t="shared" si="10"/>
        <v>882</v>
      </c>
    </row>
    <row r="51">
      <c r="A51" s="13" t="s">
        <v>67</v>
      </c>
      <c r="B51" s="14"/>
      <c r="C51" s="15">
        <f>86.9</f>
        <v>86.9</v>
      </c>
      <c r="D51" s="15">
        <f>200</f>
        <v>200</v>
      </c>
      <c r="E51" s="15">
        <f t="shared" ref="E51:H51" si="14">100</f>
        <v>100</v>
      </c>
      <c r="F51" s="15">
        <f t="shared" si="14"/>
        <v>100</v>
      </c>
      <c r="G51" s="15">
        <f t="shared" si="14"/>
        <v>100</v>
      </c>
      <c r="H51" s="15">
        <f t="shared" si="14"/>
        <v>100</v>
      </c>
      <c r="I51" s="14"/>
      <c r="J51" s="15">
        <f t="shared" ref="J51:M51" si="15">100</f>
        <v>100</v>
      </c>
      <c r="K51" s="15">
        <f t="shared" si="15"/>
        <v>100</v>
      </c>
      <c r="L51" s="15">
        <f t="shared" si="15"/>
        <v>100</v>
      </c>
      <c r="M51" s="15">
        <f t="shared" si="15"/>
        <v>100</v>
      </c>
      <c r="N51" s="15">
        <f t="shared" si="10"/>
        <v>1086.9</v>
      </c>
    </row>
    <row r="52">
      <c r="A52" s="13" t="s">
        <v>68</v>
      </c>
      <c r="B52" s="15">
        <f>9.99</f>
        <v>9.99</v>
      </c>
      <c r="C52" s="15">
        <f>42.5</f>
        <v>42.5</v>
      </c>
      <c r="D52" s="15">
        <f>13.48</f>
        <v>13.48</v>
      </c>
      <c r="E52" s="15">
        <f t="shared" ref="E52:G52" si="16">45.99</f>
        <v>45.99</v>
      </c>
      <c r="F52" s="15">
        <f t="shared" si="16"/>
        <v>45.99</v>
      </c>
      <c r="G52" s="15">
        <f t="shared" si="16"/>
        <v>45.99</v>
      </c>
      <c r="H52" s="15">
        <f>367.67</f>
        <v>367.67</v>
      </c>
      <c r="I52" s="15">
        <f>61.29</f>
        <v>61.29</v>
      </c>
      <c r="J52" s="15">
        <f>61.2</f>
        <v>61.2</v>
      </c>
      <c r="K52" s="15">
        <f>51.49</f>
        <v>51.49</v>
      </c>
      <c r="L52" s="15">
        <f t="shared" ref="L52:M52" si="17">48</f>
        <v>48</v>
      </c>
      <c r="M52" s="15">
        <f t="shared" si="17"/>
        <v>48</v>
      </c>
      <c r="N52" s="15">
        <f t="shared" si="10"/>
        <v>841.59</v>
      </c>
    </row>
    <row r="53">
      <c r="A53" s="13" t="s">
        <v>69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>
        <f t="shared" si="10"/>
        <v>0</v>
      </c>
    </row>
    <row r="54">
      <c r="A54" s="13" t="s">
        <v>316</v>
      </c>
      <c r="B54" s="14"/>
      <c r="C54" s="14"/>
      <c r="D54" s="14"/>
      <c r="E54" s="14"/>
      <c r="F54" s="15">
        <f>722.12</f>
        <v>722.12</v>
      </c>
      <c r="G54" s="14"/>
      <c r="H54" s="14"/>
      <c r="I54" s="14"/>
      <c r="J54" s="15">
        <f>-140</f>
        <v>-140</v>
      </c>
      <c r="K54" s="14"/>
      <c r="L54" s="14"/>
      <c r="M54" s="14"/>
      <c r="N54" s="15">
        <f t="shared" si="10"/>
        <v>582.12</v>
      </c>
    </row>
    <row r="55">
      <c r="A55" s="13" t="s">
        <v>70</v>
      </c>
      <c r="B55" s="14"/>
      <c r="C55" s="14"/>
      <c r="D55" s="15">
        <f>495</f>
        <v>495</v>
      </c>
      <c r="E55" s="14"/>
      <c r="F55" s="14"/>
      <c r="G55" s="15">
        <f>551.34</f>
        <v>551.34</v>
      </c>
      <c r="H55" s="14"/>
      <c r="I55" s="14"/>
      <c r="J55" s="14"/>
      <c r="K55" s="15">
        <f>-630</f>
        <v>-630</v>
      </c>
      <c r="L55" s="14"/>
      <c r="M55" s="14"/>
      <c r="N55" s="15">
        <f t="shared" si="10"/>
        <v>416.34</v>
      </c>
    </row>
    <row r="56">
      <c r="A56" s="13" t="s">
        <v>72</v>
      </c>
      <c r="B56" s="17">
        <f t="shared" ref="B56:M56" si="18">((B53)+(B54))+(B55)</f>
        <v>0</v>
      </c>
      <c r="C56" s="17">
        <f t="shared" si="18"/>
        <v>0</v>
      </c>
      <c r="D56" s="17">
        <f t="shared" si="18"/>
        <v>495</v>
      </c>
      <c r="E56" s="17">
        <f t="shared" si="18"/>
        <v>0</v>
      </c>
      <c r="F56" s="17">
        <f t="shared" si="18"/>
        <v>722.12</v>
      </c>
      <c r="G56" s="17">
        <f t="shared" si="18"/>
        <v>551.34</v>
      </c>
      <c r="H56" s="17">
        <f t="shared" si="18"/>
        <v>0</v>
      </c>
      <c r="I56" s="17">
        <f t="shared" si="18"/>
        <v>0</v>
      </c>
      <c r="J56" s="17">
        <f t="shared" si="18"/>
        <v>-140</v>
      </c>
      <c r="K56" s="17">
        <f t="shared" si="18"/>
        <v>-630</v>
      </c>
      <c r="L56" s="17">
        <f t="shared" si="18"/>
        <v>0</v>
      </c>
      <c r="M56" s="17">
        <f t="shared" si="18"/>
        <v>0</v>
      </c>
      <c r="N56" s="17">
        <f t="shared" si="10"/>
        <v>998.46</v>
      </c>
    </row>
    <row r="57">
      <c r="A57" s="13" t="s">
        <v>73</v>
      </c>
      <c r="B57" s="15">
        <f t="shared" ref="B57:G57" si="19">42</f>
        <v>42</v>
      </c>
      <c r="C57" s="15">
        <f t="shared" si="19"/>
        <v>42</v>
      </c>
      <c r="D57" s="15">
        <f t="shared" si="19"/>
        <v>42</v>
      </c>
      <c r="E57" s="15">
        <f t="shared" si="19"/>
        <v>42</v>
      </c>
      <c r="F57" s="15">
        <f t="shared" si="19"/>
        <v>42</v>
      </c>
      <c r="G57" s="15">
        <f t="shared" si="19"/>
        <v>42</v>
      </c>
      <c r="H57" s="15">
        <f t="shared" ref="H57:M57" si="20">85</f>
        <v>85</v>
      </c>
      <c r="I57" s="15">
        <f t="shared" si="20"/>
        <v>85</v>
      </c>
      <c r="J57" s="15">
        <f t="shared" si="20"/>
        <v>85</v>
      </c>
      <c r="K57" s="15">
        <f t="shared" si="20"/>
        <v>85</v>
      </c>
      <c r="L57" s="15">
        <f t="shared" si="20"/>
        <v>85</v>
      </c>
      <c r="M57" s="15">
        <f t="shared" si="20"/>
        <v>85</v>
      </c>
      <c r="N57" s="15">
        <f t="shared" si="10"/>
        <v>762</v>
      </c>
    </row>
    <row r="58">
      <c r="A58" s="13" t="s">
        <v>74</v>
      </c>
      <c r="B58" s="17">
        <f t="shared" ref="B58:M58" si="21">(((((((((((((B38)+(B42))+(B43))+(B44))+(B45))+(B46))+(B47))+(B48))+(B49))+(B50))+(B51))+(B52))+(B56))+(B57)</f>
        <v>4572.81</v>
      </c>
      <c r="C58" s="17">
        <f t="shared" si="21"/>
        <v>926.24</v>
      </c>
      <c r="D58" s="17">
        <f t="shared" si="21"/>
        <v>1782.27</v>
      </c>
      <c r="E58" s="17">
        <f t="shared" si="21"/>
        <v>1283.13</v>
      </c>
      <c r="F58" s="17">
        <f t="shared" si="21"/>
        <v>6229.4</v>
      </c>
      <c r="G58" s="17">
        <f t="shared" si="21"/>
        <v>1234.64</v>
      </c>
      <c r="H58" s="17">
        <f t="shared" si="21"/>
        <v>1277.51</v>
      </c>
      <c r="I58" s="17">
        <f t="shared" si="21"/>
        <v>1217.49</v>
      </c>
      <c r="J58" s="17">
        <f t="shared" si="21"/>
        <v>2800.45</v>
      </c>
      <c r="K58" s="17">
        <f t="shared" si="21"/>
        <v>744.57</v>
      </c>
      <c r="L58" s="17">
        <f t="shared" si="21"/>
        <v>966.14</v>
      </c>
      <c r="M58" s="17">
        <f t="shared" si="21"/>
        <v>3578.23</v>
      </c>
      <c r="N58" s="17">
        <f t="shared" si="10"/>
        <v>26612.88</v>
      </c>
    </row>
    <row r="59">
      <c r="A59" s="13" t="s">
        <v>76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>
        <f t="shared" si="10"/>
        <v>0</v>
      </c>
    </row>
    <row r="60">
      <c r="A60" s="13" t="s">
        <v>77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 t="shared" si="10"/>
        <v>0</v>
      </c>
    </row>
    <row r="61">
      <c r="A61" s="13" t="s">
        <v>78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>
        <f t="shared" si="10"/>
        <v>0</v>
      </c>
    </row>
    <row r="62">
      <c r="A62" s="13" t="s">
        <v>82</v>
      </c>
      <c r="B62" s="14"/>
      <c r="C62" s="14"/>
      <c r="D62" s="14"/>
      <c r="E62" s="14"/>
      <c r="F62" s="14"/>
      <c r="G62" s="14"/>
      <c r="H62" s="14"/>
      <c r="I62" s="15">
        <f t="shared" ref="I62:I63" si="22">172.36</f>
        <v>172.36</v>
      </c>
      <c r="J62" s="14"/>
      <c r="K62" s="14"/>
      <c r="L62" s="14"/>
      <c r="M62" s="15">
        <f>1069.07</f>
        <v>1069.07</v>
      </c>
      <c r="N62" s="15">
        <f t="shared" si="10"/>
        <v>1241.43</v>
      </c>
    </row>
    <row r="63">
      <c r="A63" s="13" t="s">
        <v>83</v>
      </c>
      <c r="B63" s="14"/>
      <c r="C63" s="14"/>
      <c r="D63" s="14"/>
      <c r="E63" s="14"/>
      <c r="F63" s="14"/>
      <c r="G63" s="14"/>
      <c r="H63" s="14"/>
      <c r="I63" s="15">
        <f t="shared" si="22"/>
        <v>172.36</v>
      </c>
      <c r="J63" s="14"/>
      <c r="K63" s="14"/>
      <c r="L63" s="14"/>
      <c r="M63" s="15">
        <f>1106.2</f>
        <v>1106.2</v>
      </c>
      <c r="N63" s="15">
        <f t="shared" si="10"/>
        <v>1278.56</v>
      </c>
    </row>
    <row r="64">
      <c r="A64" s="13" t="s">
        <v>84</v>
      </c>
      <c r="B64" s="14"/>
      <c r="C64" s="15">
        <f>706.74</f>
        <v>706.74</v>
      </c>
      <c r="D64" s="15">
        <f>1938.7</f>
        <v>1938.7</v>
      </c>
      <c r="E64" s="15">
        <f>1784.21</f>
        <v>1784.21</v>
      </c>
      <c r="F64" s="14"/>
      <c r="G64" s="15">
        <f>2153.71</f>
        <v>2153.71</v>
      </c>
      <c r="H64" s="15">
        <f>7243.19</f>
        <v>7243.19</v>
      </c>
      <c r="I64" s="15">
        <f>1945.48</f>
        <v>1945.48</v>
      </c>
      <c r="J64" s="14"/>
      <c r="K64" s="15">
        <f>4137.58</f>
        <v>4137.58</v>
      </c>
      <c r="L64" s="14"/>
      <c r="M64" s="15">
        <f>5487.56</f>
        <v>5487.56</v>
      </c>
      <c r="N64" s="15">
        <f t="shared" si="10"/>
        <v>25397.17</v>
      </c>
    </row>
    <row r="65">
      <c r="A65" s="13" t="s">
        <v>86</v>
      </c>
      <c r="B65" s="14"/>
      <c r="C65" s="14"/>
      <c r="D65" s="15">
        <f>82.03</f>
        <v>82.03</v>
      </c>
      <c r="E65" s="14"/>
      <c r="F65" s="14"/>
      <c r="G65" s="14"/>
      <c r="H65" s="14"/>
      <c r="I65" s="14"/>
      <c r="J65" s="14"/>
      <c r="K65" s="14"/>
      <c r="L65" s="14"/>
      <c r="M65" s="15">
        <f>1705.2</f>
        <v>1705.2</v>
      </c>
      <c r="N65" s="15">
        <f t="shared" si="10"/>
        <v>1787.23</v>
      </c>
    </row>
    <row r="66">
      <c r="A66" s="13" t="s">
        <v>87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>
        <f>1470.87</f>
        <v>1470.87</v>
      </c>
      <c r="N66" s="15">
        <f t="shared" si="10"/>
        <v>1470.87</v>
      </c>
    </row>
    <row r="67">
      <c r="A67" s="13" t="s">
        <v>317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>
        <f>3612.66</f>
        <v>3612.66</v>
      </c>
      <c r="N67" s="15">
        <f t="shared" si="10"/>
        <v>3612.66</v>
      </c>
    </row>
    <row r="68">
      <c r="A68" s="13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5">
        <f>854.94</f>
        <v>854.94</v>
      </c>
      <c r="N68" s="15">
        <f t="shared" si="10"/>
        <v>854.94</v>
      </c>
    </row>
    <row r="69">
      <c r="A69" s="13" t="s">
        <v>89</v>
      </c>
      <c r="B69" s="14"/>
      <c r="C69" s="15">
        <f>18815.46</f>
        <v>18815.46</v>
      </c>
      <c r="D69" s="15">
        <f>8817.07</f>
        <v>8817.07</v>
      </c>
      <c r="E69" s="15">
        <f>803.9</f>
        <v>803.9</v>
      </c>
      <c r="F69" s="14"/>
      <c r="G69" s="14"/>
      <c r="H69" s="15">
        <f>4981.76</f>
        <v>4981.76</v>
      </c>
      <c r="I69" s="15">
        <f>224.08</f>
        <v>224.08</v>
      </c>
      <c r="J69" s="14"/>
      <c r="K69" s="15">
        <f>1386.25</f>
        <v>1386.25</v>
      </c>
      <c r="L69" s="14"/>
      <c r="M69" s="15">
        <f>6173.86</f>
        <v>6173.86</v>
      </c>
      <c r="N69" s="15">
        <f t="shared" si="10"/>
        <v>41202.38</v>
      </c>
    </row>
    <row r="70">
      <c r="A70" s="13" t="s">
        <v>90</v>
      </c>
      <c r="B70" s="14"/>
      <c r="C70" s="15">
        <f>12236.32</f>
        <v>12236.32</v>
      </c>
      <c r="D70" s="15">
        <f>1832.03</f>
        <v>1832.03</v>
      </c>
      <c r="E70" s="14"/>
      <c r="F70" s="14"/>
      <c r="G70" s="14"/>
      <c r="H70" s="15">
        <f>825.4</f>
        <v>825.4</v>
      </c>
      <c r="I70" s="15">
        <f>172.36</f>
        <v>172.36</v>
      </c>
      <c r="J70" s="14"/>
      <c r="K70" s="15">
        <f>258.54</f>
        <v>258.54</v>
      </c>
      <c r="L70" s="14"/>
      <c r="M70" s="15">
        <f>2862.5</f>
        <v>2862.5</v>
      </c>
      <c r="N70" s="15">
        <f t="shared" si="10"/>
        <v>18187.15</v>
      </c>
    </row>
    <row r="71">
      <c r="A71" s="13" t="s">
        <v>318</v>
      </c>
      <c r="B71" s="14"/>
      <c r="C71" s="15">
        <f>967.56</f>
        <v>967.56</v>
      </c>
      <c r="D71" s="15">
        <f t="shared" ref="D71:D72" si="23">180.47</f>
        <v>180.47</v>
      </c>
      <c r="E71" s="14"/>
      <c r="F71" s="14"/>
      <c r="G71" s="14"/>
      <c r="H71" s="15">
        <f>329.26</f>
        <v>329.26</v>
      </c>
      <c r="I71" s="15">
        <f>86.18</f>
        <v>86.18</v>
      </c>
      <c r="J71" s="14"/>
      <c r="K71" s="15">
        <f>3041.76</f>
        <v>3041.76</v>
      </c>
      <c r="L71" s="14"/>
      <c r="M71" s="15">
        <f>2127.78</f>
        <v>2127.78</v>
      </c>
      <c r="N71" s="15">
        <f t="shared" si="10"/>
        <v>6733.01</v>
      </c>
    </row>
    <row r="72">
      <c r="A72" s="13" t="s">
        <v>319</v>
      </c>
      <c r="B72" s="14"/>
      <c r="C72" s="15">
        <f>966.69</f>
        <v>966.69</v>
      </c>
      <c r="D72" s="15">
        <f t="shared" si="23"/>
        <v>180.47</v>
      </c>
      <c r="E72" s="14"/>
      <c r="F72" s="14"/>
      <c r="G72" s="14"/>
      <c r="H72" s="15">
        <f>164.63</f>
        <v>164.63</v>
      </c>
      <c r="I72" s="14"/>
      <c r="J72" s="14"/>
      <c r="K72" s="14"/>
      <c r="L72" s="14"/>
      <c r="M72" s="15">
        <f>3021.54</f>
        <v>3021.54</v>
      </c>
      <c r="N72" s="15">
        <f t="shared" si="10"/>
        <v>4333.33</v>
      </c>
    </row>
    <row r="73">
      <c r="A73" s="13" t="s">
        <v>320</v>
      </c>
      <c r="B73" s="14"/>
      <c r="C73" s="15">
        <f>3136.23</f>
        <v>3136.23</v>
      </c>
      <c r="D73" s="15">
        <f>278.91</f>
        <v>278.91</v>
      </c>
      <c r="E73" s="15">
        <f>4320.72</f>
        <v>4320.72</v>
      </c>
      <c r="F73" s="14"/>
      <c r="G73" s="14"/>
      <c r="H73" s="14"/>
      <c r="I73" s="15">
        <f t="shared" ref="I73:I74" si="24">172.36</f>
        <v>172.36</v>
      </c>
      <c r="J73" s="14"/>
      <c r="K73" s="15">
        <f>3040.02</f>
        <v>3040.02</v>
      </c>
      <c r="L73" s="14"/>
      <c r="M73" s="15">
        <f>614.3</f>
        <v>614.3</v>
      </c>
      <c r="N73" s="15">
        <f t="shared" si="10"/>
        <v>11562.54</v>
      </c>
    </row>
    <row r="74">
      <c r="A74" s="13" t="s">
        <v>91</v>
      </c>
      <c r="B74" s="14"/>
      <c r="C74" s="14"/>
      <c r="D74" s="14"/>
      <c r="E74" s="14"/>
      <c r="F74" s="14"/>
      <c r="G74" s="15">
        <f>410.15</f>
        <v>410.15</v>
      </c>
      <c r="H74" s="15">
        <f>1454.64</f>
        <v>1454.64</v>
      </c>
      <c r="I74" s="15">
        <f t="shared" si="24"/>
        <v>172.36</v>
      </c>
      <c r="J74" s="14"/>
      <c r="K74" s="15">
        <f>592.47</f>
        <v>592.47</v>
      </c>
      <c r="L74" s="14"/>
      <c r="M74" s="15">
        <f>2665.78</f>
        <v>2665.78</v>
      </c>
      <c r="N74" s="15">
        <f t="shared" si="10"/>
        <v>5295.4</v>
      </c>
    </row>
    <row r="75">
      <c r="A75" s="13" t="s">
        <v>92</v>
      </c>
      <c r="B75" s="14"/>
      <c r="C75" s="15">
        <f>716</f>
        <v>716</v>
      </c>
      <c r="D75" s="15">
        <f>3064.46</f>
        <v>3064.46</v>
      </c>
      <c r="E75" s="15">
        <f>557.81</f>
        <v>557.81</v>
      </c>
      <c r="F75" s="14"/>
      <c r="G75" s="14"/>
      <c r="H75" s="15">
        <f>2334.35</f>
        <v>2334.35</v>
      </c>
      <c r="I75" s="15">
        <f>224.08</f>
        <v>224.08</v>
      </c>
      <c r="J75" s="14"/>
      <c r="K75" s="15">
        <f>413.69</f>
        <v>413.69</v>
      </c>
      <c r="L75" s="14"/>
      <c r="M75" s="15">
        <f>18745.27</f>
        <v>18745.27</v>
      </c>
      <c r="N75" s="15">
        <f t="shared" si="10"/>
        <v>26055.66</v>
      </c>
    </row>
    <row r="76">
      <c r="A76" s="13" t="s">
        <v>93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5">
        <f>1673.63</f>
        <v>1673.63</v>
      </c>
      <c r="N76" s="15">
        <f t="shared" si="10"/>
        <v>1673.63</v>
      </c>
    </row>
    <row r="77">
      <c r="A77" s="13" t="s">
        <v>94</v>
      </c>
      <c r="B77" s="17">
        <f t="shared" ref="B77:M77" si="25">(((((((((((((((B61)+(B62))+(B63))+(B64))+(B65))+(B66))+(B67))+(B68))+(B69))+(B70))+(B71))+(B72))+(B73))+(B74))+(B75))+(B76)</f>
        <v>0</v>
      </c>
      <c r="C77" s="17">
        <f t="shared" si="25"/>
        <v>37545</v>
      </c>
      <c r="D77" s="17">
        <f t="shared" si="25"/>
        <v>16374.14</v>
      </c>
      <c r="E77" s="17">
        <f t="shared" si="25"/>
        <v>7466.64</v>
      </c>
      <c r="F77" s="17">
        <f t="shared" si="25"/>
        <v>0</v>
      </c>
      <c r="G77" s="17">
        <f t="shared" si="25"/>
        <v>2563.86</v>
      </c>
      <c r="H77" s="17">
        <f t="shared" si="25"/>
        <v>17333.23</v>
      </c>
      <c r="I77" s="17">
        <f t="shared" si="25"/>
        <v>3341.62</v>
      </c>
      <c r="J77" s="17">
        <f t="shared" si="25"/>
        <v>0</v>
      </c>
      <c r="K77" s="17">
        <f t="shared" si="25"/>
        <v>12870.31</v>
      </c>
      <c r="L77" s="17">
        <f t="shared" si="25"/>
        <v>0</v>
      </c>
      <c r="M77" s="17">
        <f t="shared" si="25"/>
        <v>53191.16</v>
      </c>
      <c r="N77" s="17">
        <f t="shared" si="10"/>
        <v>150685.96</v>
      </c>
    </row>
    <row r="78">
      <c r="A78" s="13" t="s">
        <v>95</v>
      </c>
      <c r="B78" s="17">
        <f t="shared" ref="B78:M78" si="26">(B60)+(B77)</f>
        <v>0</v>
      </c>
      <c r="C78" s="17">
        <f t="shared" si="26"/>
        <v>37545</v>
      </c>
      <c r="D78" s="17">
        <f t="shared" si="26"/>
        <v>16374.14</v>
      </c>
      <c r="E78" s="17">
        <f t="shared" si="26"/>
        <v>7466.64</v>
      </c>
      <c r="F78" s="17">
        <f t="shared" si="26"/>
        <v>0</v>
      </c>
      <c r="G78" s="17">
        <f t="shared" si="26"/>
        <v>2563.86</v>
      </c>
      <c r="H78" s="17">
        <f t="shared" si="26"/>
        <v>17333.23</v>
      </c>
      <c r="I78" s="17">
        <f t="shared" si="26"/>
        <v>3341.62</v>
      </c>
      <c r="J78" s="17">
        <f t="shared" si="26"/>
        <v>0</v>
      </c>
      <c r="K78" s="17">
        <f t="shared" si="26"/>
        <v>12870.31</v>
      </c>
      <c r="L78" s="17">
        <f t="shared" si="26"/>
        <v>0</v>
      </c>
      <c r="M78" s="17">
        <f t="shared" si="26"/>
        <v>53191.16</v>
      </c>
      <c r="N78" s="17">
        <f t="shared" si="10"/>
        <v>150685.96</v>
      </c>
    </row>
    <row r="79">
      <c r="A79" s="13" t="s">
        <v>96</v>
      </c>
      <c r="B79" s="14"/>
      <c r="C79" s="15">
        <f>739.5</f>
        <v>739.5</v>
      </c>
      <c r="D79" s="14"/>
      <c r="E79" s="14"/>
      <c r="F79" s="14"/>
      <c r="G79" s="15">
        <f>5257.5</f>
        <v>5257.5</v>
      </c>
      <c r="H79" s="14"/>
      <c r="I79" s="14"/>
      <c r="J79" s="15">
        <f>-369.75</f>
        <v>-369.75</v>
      </c>
      <c r="K79" s="15">
        <f>288.75</f>
        <v>288.75</v>
      </c>
      <c r="L79" s="14"/>
      <c r="M79" s="14"/>
      <c r="N79" s="15">
        <f t="shared" si="10"/>
        <v>5916</v>
      </c>
    </row>
    <row r="80">
      <c r="A80" s="13" t="s">
        <v>97</v>
      </c>
      <c r="B80" s="14"/>
      <c r="C80" s="14"/>
      <c r="D80" s="14"/>
      <c r="E80" s="14"/>
      <c r="F80" s="15">
        <f>55</f>
        <v>55</v>
      </c>
      <c r="G80" s="14"/>
      <c r="H80" s="14"/>
      <c r="I80" s="14"/>
      <c r="J80" s="14"/>
      <c r="K80" s="14"/>
      <c r="L80" s="14"/>
      <c r="M80" s="14"/>
      <c r="N80" s="15">
        <f t="shared" si="10"/>
        <v>55</v>
      </c>
    </row>
    <row r="81">
      <c r="A81" s="13" t="s">
        <v>98</v>
      </c>
      <c r="B81" s="14"/>
      <c r="C81" s="14"/>
      <c r="D81" s="14"/>
      <c r="E81" s="14"/>
      <c r="F81" s="15">
        <f>1750</f>
        <v>1750</v>
      </c>
      <c r="G81" s="14"/>
      <c r="H81" s="14"/>
      <c r="I81" s="14"/>
      <c r="J81" s="14"/>
      <c r="K81" s="14"/>
      <c r="L81" s="14"/>
      <c r="M81" s="14"/>
      <c r="N81" s="15">
        <f t="shared" si="10"/>
        <v>1750</v>
      </c>
    </row>
    <row r="82">
      <c r="A82" s="13" t="s">
        <v>99</v>
      </c>
      <c r="B82" s="15">
        <f>16050</f>
        <v>16050</v>
      </c>
      <c r="C82" s="14"/>
      <c r="D82" s="14"/>
      <c r="E82" s="15">
        <f>48150</f>
        <v>48150</v>
      </c>
      <c r="F82" s="14"/>
      <c r="G82" s="14"/>
      <c r="H82" s="15">
        <f>2509.16</f>
        <v>2509.16</v>
      </c>
      <c r="I82" s="15">
        <f>4903.39</f>
        <v>4903.39</v>
      </c>
      <c r="J82" s="15">
        <f>6830.69</f>
        <v>6830.69</v>
      </c>
      <c r="K82" s="15">
        <f>13145.7</f>
        <v>13145.7</v>
      </c>
      <c r="L82" s="14"/>
      <c r="M82" s="15">
        <f>14977.07</f>
        <v>14977.07</v>
      </c>
      <c r="N82" s="15">
        <f t="shared" si="10"/>
        <v>106566.01</v>
      </c>
    </row>
    <row r="83">
      <c r="A83" s="13" t="s">
        <v>101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>
        <f t="shared" si="10"/>
        <v>0</v>
      </c>
    </row>
    <row r="84">
      <c r="A84" s="13" t="s">
        <v>241</v>
      </c>
      <c r="B84" s="15">
        <f>1650</f>
        <v>1650</v>
      </c>
      <c r="C84" s="14"/>
      <c r="D84" s="15">
        <f>4400</f>
        <v>4400</v>
      </c>
      <c r="E84" s="15">
        <f>2625</f>
        <v>2625</v>
      </c>
      <c r="F84" s="15">
        <f>1930.41</f>
        <v>1930.41</v>
      </c>
      <c r="G84" s="15">
        <f>425</f>
        <v>425</v>
      </c>
      <c r="H84" s="14"/>
      <c r="I84" s="15">
        <f>2025</f>
        <v>2025</v>
      </c>
      <c r="J84" s="15">
        <f>5050</f>
        <v>5050</v>
      </c>
      <c r="K84" s="14"/>
      <c r="L84" s="14"/>
      <c r="M84" s="15">
        <f>2000</f>
        <v>2000</v>
      </c>
      <c r="N84" s="15">
        <f t="shared" si="10"/>
        <v>20105.41</v>
      </c>
    </row>
    <row r="85">
      <c r="A85" s="13" t="s">
        <v>103</v>
      </c>
      <c r="B85" s="14"/>
      <c r="C85" s="14"/>
      <c r="D85" s="15">
        <f>2500</f>
        <v>2500</v>
      </c>
      <c r="E85" s="14"/>
      <c r="F85" s="14"/>
      <c r="G85" s="15">
        <f>2000</f>
        <v>2000</v>
      </c>
      <c r="H85" s="14"/>
      <c r="I85" s="14"/>
      <c r="J85" s="14"/>
      <c r="K85" s="15">
        <f>7000</f>
        <v>7000</v>
      </c>
      <c r="L85" s="14"/>
      <c r="M85" s="15">
        <f>500</f>
        <v>500</v>
      </c>
      <c r="N85" s="15">
        <f t="shared" si="10"/>
        <v>12000</v>
      </c>
    </row>
    <row r="86">
      <c r="A86" s="13" t="s">
        <v>104</v>
      </c>
      <c r="B86" s="14"/>
      <c r="C86" s="14"/>
      <c r="D86" s="14"/>
      <c r="E86" s="15">
        <f>278.89</f>
        <v>278.89</v>
      </c>
      <c r="F86" s="15">
        <f>137.66</f>
        <v>137.66</v>
      </c>
      <c r="G86" s="14"/>
      <c r="H86" s="14"/>
      <c r="I86" s="14"/>
      <c r="J86" s="14"/>
      <c r="K86" s="14"/>
      <c r="L86" s="14"/>
      <c r="M86" s="15">
        <f>176.99</f>
        <v>176.99</v>
      </c>
      <c r="N86" s="15">
        <f t="shared" si="10"/>
        <v>593.54</v>
      </c>
    </row>
    <row r="87">
      <c r="A87" s="13" t="s">
        <v>105</v>
      </c>
      <c r="B87" s="17">
        <f t="shared" ref="B87:M87" si="27">(((B83)+(B84))+(B85))+(B86)</f>
        <v>1650</v>
      </c>
      <c r="C87" s="17">
        <f t="shared" si="27"/>
        <v>0</v>
      </c>
      <c r="D87" s="17">
        <f t="shared" si="27"/>
        <v>6900</v>
      </c>
      <c r="E87" s="17">
        <f t="shared" si="27"/>
        <v>2903.89</v>
      </c>
      <c r="F87" s="17">
        <f t="shared" si="27"/>
        <v>2068.07</v>
      </c>
      <c r="G87" s="17">
        <f t="shared" si="27"/>
        <v>2425</v>
      </c>
      <c r="H87" s="17">
        <f t="shared" si="27"/>
        <v>0</v>
      </c>
      <c r="I87" s="17">
        <f t="shared" si="27"/>
        <v>2025</v>
      </c>
      <c r="J87" s="17">
        <f t="shared" si="27"/>
        <v>5050</v>
      </c>
      <c r="K87" s="17">
        <f t="shared" si="27"/>
        <v>7000</v>
      </c>
      <c r="L87" s="17">
        <f t="shared" si="27"/>
        <v>0</v>
      </c>
      <c r="M87" s="17">
        <f t="shared" si="27"/>
        <v>2676.99</v>
      </c>
      <c r="N87" s="17">
        <f t="shared" si="10"/>
        <v>32698.95</v>
      </c>
    </row>
    <row r="88">
      <c r="A88" s="13" t="s">
        <v>106</v>
      </c>
      <c r="B88" s="15">
        <f>537.5</f>
        <v>537.5</v>
      </c>
      <c r="C88" s="14"/>
      <c r="D88" s="15">
        <f>1100</f>
        <v>1100</v>
      </c>
      <c r="E88" s="15">
        <f>247.5</f>
        <v>247.5</v>
      </c>
      <c r="F88" s="15">
        <f>330</f>
        <v>330</v>
      </c>
      <c r="G88" s="15">
        <f>165</f>
        <v>165</v>
      </c>
      <c r="H88" s="14"/>
      <c r="I88" s="15">
        <f>220</f>
        <v>220</v>
      </c>
      <c r="J88" s="15">
        <f>605</f>
        <v>605</v>
      </c>
      <c r="K88" s="14"/>
      <c r="L88" s="14"/>
      <c r="M88" s="15">
        <f>426.25</f>
        <v>426.25</v>
      </c>
      <c r="N88" s="15">
        <f t="shared" si="10"/>
        <v>3631.25</v>
      </c>
    </row>
    <row r="89">
      <c r="A89" s="13" t="s">
        <v>107</v>
      </c>
      <c r="B89" s="15">
        <f>697.5</f>
        <v>697.5</v>
      </c>
      <c r="C89" s="14"/>
      <c r="D89" s="15">
        <f>1676.25</f>
        <v>1676.25</v>
      </c>
      <c r="E89" s="15">
        <f>1227.5</f>
        <v>1227.5</v>
      </c>
      <c r="F89" s="15">
        <f>1182.5</f>
        <v>1182.5</v>
      </c>
      <c r="G89" s="15">
        <f>1068.75</f>
        <v>1068.75</v>
      </c>
      <c r="H89" s="14"/>
      <c r="I89" s="15">
        <f>3827.5</f>
        <v>3827.5</v>
      </c>
      <c r="J89" s="15">
        <f>4106.25</f>
        <v>4106.25</v>
      </c>
      <c r="K89" s="15">
        <f>1745.34</f>
        <v>1745.34</v>
      </c>
      <c r="L89" s="14"/>
      <c r="M89" s="15">
        <f>3476.25</f>
        <v>3476.25</v>
      </c>
      <c r="N89" s="15">
        <f t="shared" si="10"/>
        <v>19007.84</v>
      </c>
    </row>
    <row r="90">
      <c r="A90" s="13" t="s">
        <v>108</v>
      </c>
      <c r="B90" s="15">
        <f>225</f>
        <v>225</v>
      </c>
      <c r="C90" s="14"/>
      <c r="D90" s="15">
        <f>135</f>
        <v>135</v>
      </c>
      <c r="E90" s="15">
        <f>90</f>
        <v>90</v>
      </c>
      <c r="F90" s="15">
        <f>225</f>
        <v>225</v>
      </c>
      <c r="G90" s="15">
        <f>180</f>
        <v>180</v>
      </c>
      <c r="H90" s="14"/>
      <c r="I90" s="15">
        <f>607.5</f>
        <v>607.5</v>
      </c>
      <c r="J90" s="15">
        <f t="shared" ref="J90:K90" si="28">382.5</f>
        <v>382.5</v>
      </c>
      <c r="K90" s="15">
        <f t="shared" si="28"/>
        <v>382.5</v>
      </c>
      <c r="L90" s="14"/>
      <c r="M90" s="15">
        <f>753.75</f>
        <v>753.75</v>
      </c>
      <c r="N90" s="15">
        <f t="shared" si="10"/>
        <v>2981.25</v>
      </c>
    </row>
    <row r="91">
      <c r="A91" s="13" t="s">
        <v>109</v>
      </c>
      <c r="B91" s="15">
        <f>190.95</f>
        <v>190.95</v>
      </c>
      <c r="C91" s="14"/>
      <c r="D91" s="15">
        <f>606.35</f>
        <v>606.35</v>
      </c>
      <c r="E91" s="15">
        <f>112.29</f>
        <v>112.29</v>
      </c>
      <c r="F91" s="15">
        <f>124.62</f>
        <v>124.62</v>
      </c>
      <c r="G91" s="15">
        <f>90.45</f>
        <v>90.45</v>
      </c>
      <c r="H91" s="15">
        <f>43.8</f>
        <v>43.8</v>
      </c>
      <c r="I91" s="14"/>
      <c r="J91" s="15">
        <f>170.43</f>
        <v>170.43</v>
      </c>
      <c r="K91" s="14"/>
      <c r="L91" s="14"/>
      <c r="M91" s="14"/>
      <c r="N91" s="15">
        <f t="shared" si="10"/>
        <v>1338.89</v>
      </c>
    </row>
    <row r="92">
      <c r="A92" s="13" t="s">
        <v>321</v>
      </c>
      <c r="B92" s="14"/>
      <c r="C92" s="14"/>
      <c r="D92" s="15">
        <f>23.86</f>
        <v>23.86</v>
      </c>
      <c r="E92" s="14"/>
      <c r="F92" s="14"/>
      <c r="G92" s="14"/>
      <c r="H92" s="14"/>
      <c r="I92" s="15">
        <f>80.75</f>
        <v>80.75</v>
      </c>
      <c r="J92" s="14"/>
      <c r="K92" s="14"/>
      <c r="L92" s="14"/>
      <c r="M92" s="14"/>
      <c r="N92" s="15">
        <f t="shared" si="10"/>
        <v>104.61</v>
      </c>
    </row>
    <row r="93">
      <c r="A93" s="13" t="s">
        <v>110</v>
      </c>
      <c r="B93" s="17">
        <f t="shared" ref="B93:M93" si="29">(((((((B81)+(B82))+(B87))+(B88))+(B89))+(B90))+(B91))+(B92)</f>
        <v>19350.95</v>
      </c>
      <c r="C93" s="17">
        <f t="shared" si="29"/>
        <v>0</v>
      </c>
      <c r="D93" s="17">
        <f t="shared" si="29"/>
        <v>10441.46</v>
      </c>
      <c r="E93" s="17">
        <f t="shared" si="29"/>
        <v>52731.18</v>
      </c>
      <c r="F93" s="17">
        <f t="shared" si="29"/>
        <v>5680.19</v>
      </c>
      <c r="G93" s="17">
        <f t="shared" si="29"/>
        <v>3929.2</v>
      </c>
      <c r="H93" s="17">
        <f t="shared" si="29"/>
        <v>2552.96</v>
      </c>
      <c r="I93" s="17">
        <f t="shared" si="29"/>
        <v>11664.14</v>
      </c>
      <c r="J93" s="17">
        <f t="shared" si="29"/>
        <v>17144.87</v>
      </c>
      <c r="K93" s="17">
        <f t="shared" si="29"/>
        <v>22273.54</v>
      </c>
      <c r="L93" s="17">
        <f t="shared" si="29"/>
        <v>0</v>
      </c>
      <c r="M93" s="17">
        <f t="shared" si="29"/>
        <v>22310.31</v>
      </c>
      <c r="N93" s="17">
        <f t="shared" si="10"/>
        <v>168078.8</v>
      </c>
    </row>
    <row r="94">
      <c r="A94" s="13" t="s">
        <v>322</v>
      </c>
      <c r="B94" s="15">
        <f>189</f>
        <v>189</v>
      </c>
      <c r="C94" s="14"/>
      <c r="D94" s="15">
        <f>207.9</f>
        <v>207.9</v>
      </c>
      <c r="E94" s="14"/>
      <c r="F94" s="15">
        <f>106.5</f>
        <v>106.5</v>
      </c>
      <c r="G94" s="14"/>
      <c r="H94" s="14"/>
      <c r="I94" s="14"/>
      <c r="J94" s="14"/>
      <c r="K94" s="14"/>
      <c r="L94" s="15">
        <f>130</f>
        <v>130</v>
      </c>
      <c r="M94" s="14"/>
      <c r="N94" s="15">
        <f t="shared" si="10"/>
        <v>633.4</v>
      </c>
    </row>
    <row r="95">
      <c r="A95" s="13" t="s">
        <v>111</v>
      </c>
      <c r="B95" s="14"/>
      <c r="C95" s="14"/>
      <c r="D95" s="14"/>
      <c r="E95" s="14"/>
      <c r="F95" s="14"/>
      <c r="G95" s="14"/>
      <c r="H95" s="14"/>
      <c r="I95" s="14"/>
      <c r="J95" s="15">
        <f>1175.33</f>
        <v>1175.33</v>
      </c>
      <c r="K95" s="14"/>
      <c r="L95" s="14"/>
      <c r="M95" s="14"/>
      <c r="N95" s="15">
        <f t="shared" si="10"/>
        <v>1175.33</v>
      </c>
    </row>
    <row r="96">
      <c r="A96" s="13" t="s">
        <v>112</v>
      </c>
      <c r="B96" s="17">
        <f t="shared" ref="B96:M96" si="30">(((B80)+(B93))+(B94))+(B95)</f>
        <v>19539.95</v>
      </c>
      <c r="C96" s="17">
        <f t="shared" si="30"/>
        <v>0</v>
      </c>
      <c r="D96" s="17">
        <f t="shared" si="30"/>
        <v>10649.36</v>
      </c>
      <c r="E96" s="17">
        <f t="shared" si="30"/>
        <v>52731.18</v>
      </c>
      <c r="F96" s="17">
        <f t="shared" si="30"/>
        <v>5841.69</v>
      </c>
      <c r="G96" s="17">
        <f t="shared" si="30"/>
        <v>3929.2</v>
      </c>
      <c r="H96" s="17">
        <f t="shared" si="30"/>
        <v>2552.96</v>
      </c>
      <c r="I96" s="17">
        <f t="shared" si="30"/>
        <v>11664.14</v>
      </c>
      <c r="J96" s="17">
        <f t="shared" si="30"/>
        <v>18320.2</v>
      </c>
      <c r="K96" s="17">
        <f t="shared" si="30"/>
        <v>22273.54</v>
      </c>
      <c r="L96" s="17">
        <f t="shared" si="30"/>
        <v>130</v>
      </c>
      <c r="M96" s="17">
        <f t="shared" si="30"/>
        <v>22310.31</v>
      </c>
      <c r="N96" s="17">
        <f t="shared" si="10"/>
        <v>169942.53</v>
      </c>
    </row>
    <row r="97">
      <c r="A97" s="13" t="s">
        <v>113</v>
      </c>
      <c r="B97" s="17">
        <f t="shared" ref="B97:M97" si="31">(((B59)+(B78))+(B79))+(B96)</f>
        <v>19539.95</v>
      </c>
      <c r="C97" s="17">
        <f t="shared" si="31"/>
        <v>38284.5</v>
      </c>
      <c r="D97" s="17">
        <f t="shared" si="31"/>
        <v>27023.5</v>
      </c>
      <c r="E97" s="17">
        <f t="shared" si="31"/>
        <v>60197.82</v>
      </c>
      <c r="F97" s="17">
        <f t="shared" si="31"/>
        <v>5841.69</v>
      </c>
      <c r="G97" s="17">
        <f t="shared" si="31"/>
        <v>11750.56</v>
      </c>
      <c r="H97" s="17">
        <f t="shared" si="31"/>
        <v>19886.19</v>
      </c>
      <c r="I97" s="17">
        <f t="shared" si="31"/>
        <v>15005.76</v>
      </c>
      <c r="J97" s="17">
        <f t="shared" si="31"/>
        <v>17950.45</v>
      </c>
      <c r="K97" s="17">
        <f t="shared" si="31"/>
        <v>35432.6</v>
      </c>
      <c r="L97" s="17">
        <f t="shared" si="31"/>
        <v>130</v>
      </c>
      <c r="M97" s="17">
        <f t="shared" si="31"/>
        <v>75501.47</v>
      </c>
      <c r="N97" s="17">
        <f t="shared" si="10"/>
        <v>326544.49</v>
      </c>
    </row>
    <row r="98">
      <c r="A98" s="40" t="s">
        <v>114</v>
      </c>
      <c r="B98" s="27">
        <f t="shared" ref="B98:M98" si="32">(B58)+(B97)</f>
        <v>24112.76</v>
      </c>
      <c r="C98" s="27">
        <f t="shared" si="32"/>
        <v>39210.74</v>
      </c>
      <c r="D98" s="27">
        <f t="shared" si="32"/>
        <v>28805.77</v>
      </c>
      <c r="E98" s="27">
        <f t="shared" si="32"/>
        <v>61480.95</v>
      </c>
      <c r="F98" s="27">
        <f t="shared" si="32"/>
        <v>12071.09</v>
      </c>
      <c r="G98" s="27">
        <f t="shared" si="32"/>
        <v>12985.2</v>
      </c>
      <c r="H98" s="27">
        <f t="shared" si="32"/>
        <v>21163.7</v>
      </c>
      <c r="I98" s="27">
        <f t="shared" si="32"/>
        <v>16223.25</v>
      </c>
      <c r="J98" s="27">
        <f t="shared" si="32"/>
        <v>20750.9</v>
      </c>
      <c r="K98" s="27">
        <f t="shared" si="32"/>
        <v>36177.17</v>
      </c>
      <c r="L98" s="27">
        <f t="shared" si="32"/>
        <v>1096.14</v>
      </c>
      <c r="M98" s="27">
        <f t="shared" si="32"/>
        <v>79079.7</v>
      </c>
      <c r="N98" s="27">
        <f t="shared" si="10"/>
        <v>353157.37</v>
      </c>
    </row>
    <row r="99">
      <c r="A99" s="40" t="s">
        <v>115</v>
      </c>
      <c r="B99" s="28">
        <f t="shared" ref="B99:M99" si="33">(B36)-(B98)</f>
        <v>-25309.78</v>
      </c>
      <c r="C99" s="28">
        <f t="shared" si="33"/>
        <v>-39210.74</v>
      </c>
      <c r="D99" s="27">
        <f t="shared" si="33"/>
        <v>214863.74</v>
      </c>
      <c r="E99" s="28">
        <f t="shared" si="33"/>
        <v>-61480.95</v>
      </c>
      <c r="F99" s="27">
        <f t="shared" si="33"/>
        <v>25765.24</v>
      </c>
      <c r="G99" s="28">
        <f t="shared" si="33"/>
        <v>-15049.87</v>
      </c>
      <c r="H99" s="27">
        <f t="shared" si="33"/>
        <v>2119.47</v>
      </c>
      <c r="I99" s="28">
        <f t="shared" si="33"/>
        <v>-16223.25</v>
      </c>
      <c r="J99" s="27">
        <f t="shared" si="33"/>
        <v>675.95</v>
      </c>
      <c r="K99" s="28">
        <f t="shared" si="33"/>
        <v>-36177.17</v>
      </c>
      <c r="L99" s="27">
        <f t="shared" si="33"/>
        <v>3601.86</v>
      </c>
      <c r="M99" s="28">
        <f t="shared" si="33"/>
        <v>-14797.55</v>
      </c>
      <c r="N99" s="27">
        <f t="shared" si="10"/>
        <v>38776.95</v>
      </c>
    </row>
    <row r="100">
      <c r="A100" s="40" t="s">
        <v>4</v>
      </c>
      <c r="B100" s="28">
        <f t="shared" ref="B100:M100" si="34">(B99)+(0)</f>
        <v>-25309.78</v>
      </c>
      <c r="C100" s="28">
        <f t="shared" si="34"/>
        <v>-39210.74</v>
      </c>
      <c r="D100" s="27">
        <f t="shared" si="34"/>
        <v>214863.74</v>
      </c>
      <c r="E100" s="28">
        <f t="shared" si="34"/>
        <v>-61480.95</v>
      </c>
      <c r="F100" s="27">
        <f t="shared" si="34"/>
        <v>25765.24</v>
      </c>
      <c r="G100" s="28">
        <f t="shared" si="34"/>
        <v>-15049.87</v>
      </c>
      <c r="H100" s="27">
        <f t="shared" si="34"/>
        <v>2119.47</v>
      </c>
      <c r="I100" s="28">
        <f t="shared" si="34"/>
        <v>-16223.25</v>
      </c>
      <c r="J100" s="27">
        <f t="shared" si="34"/>
        <v>675.95</v>
      </c>
      <c r="K100" s="28">
        <f t="shared" si="34"/>
        <v>-36177.17</v>
      </c>
      <c r="L100" s="27">
        <f t="shared" si="34"/>
        <v>3601.86</v>
      </c>
      <c r="M100" s="28">
        <f t="shared" si="34"/>
        <v>-14797.55</v>
      </c>
      <c r="N100" s="27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/>
    <row r="103"/>
    <row r="104">
      <c r="A104" s="19" t="s">
        <v>323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N1"/>
    <mergeCell ref="A2:N2"/>
    <mergeCell ref="A3:N3"/>
    <mergeCell ref="A104:N104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324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15">
        <f>165000</f>
        <v>165000</v>
      </c>
    </row>
    <row r="11">
      <c r="A11" s="13" t="s">
        <v>134</v>
      </c>
      <c r="B11" s="15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291828.7</f>
        <v>291828.7</v>
      </c>
    </row>
    <row r="16">
      <c r="A16" s="13" t="s">
        <v>140</v>
      </c>
      <c r="B16" s="15">
        <f>189059.95</f>
        <v>189059.95</v>
      </c>
    </row>
    <row r="17">
      <c r="A17" s="13" t="s">
        <v>141</v>
      </c>
      <c r="B17" s="15">
        <f>98244.87</f>
        <v>98244.87</v>
      </c>
    </row>
    <row r="18">
      <c r="A18" s="13" t="s">
        <v>143</v>
      </c>
      <c r="B18" s="17">
        <f>(((B14)+(B15))+(B16))+(B17)</f>
        <v>579133.52</v>
      </c>
    </row>
    <row r="19">
      <c r="A19" s="42" t="s">
        <v>144</v>
      </c>
      <c r="B19" s="43">
        <f>(B13)+(B18)</f>
        <v>933228.01</v>
      </c>
    </row>
    <row r="20">
      <c r="A20" s="13" t="s">
        <v>145</v>
      </c>
      <c r="B20" s="14"/>
    </row>
    <row r="21">
      <c r="A21" s="13" t="s">
        <v>146</v>
      </c>
      <c r="B21" s="15">
        <f>65178.69</f>
        <v>65178.69</v>
      </c>
    </row>
    <row r="22">
      <c r="A22" s="13" t="s">
        <v>147</v>
      </c>
      <c r="B22" s="17">
        <f>B21</f>
        <v>65178.69</v>
      </c>
    </row>
    <row r="23">
      <c r="A23" s="13" t="s">
        <v>148</v>
      </c>
      <c r="B23" s="14"/>
    </row>
    <row r="24">
      <c r="A24" s="13" t="s">
        <v>149</v>
      </c>
      <c r="B24" s="15">
        <f>0</f>
        <v>0</v>
      </c>
    </row>
    <row r="25">
      <c r="A25" s="13" t="s">
        <v>150</v>
      </c>
      <c r="B25" s="15">
        <f>-896.54</f>
        <v>-896.54</v>
      </c>
    </row>
    <row r="26">
      <c r="A26" s="13" t="s">
        <v>151</v>
      </c>
      <c r="B26" s="15">
        <f>0</f>
        <v>0</v>
      </c>
    </row>
    <row r="27">
      <c r="A27" s="13" t="s">
        <v>152</v>
      </c>
      <c r="B27" s="15">
        <f>-1945.71</f>
        <v>-1945.71</v>
      </c>
    </row>
    <row r="28">
      <c r="A28" s="13" t="s">
        <v>153</v>
      </c>
      <c r="B28" s="15">
        <f t="shared" ref="B28:B31" si="1">0</f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7">
        <f>(((((((B24)+(B25))+(B26))+(B27))+(B28))+(B29))+(B30))+(B31)</f>
        <v>-2842.25</v>
      </c>
    </row>
    <row r="33">
      <c r="A33" s="13" t="s">
        <v>158</v>
      </c>
      <c r="B33" s="17">
        <f>((B19)+(B22))+(B32)</f>
        <v>995564.45</v>
      </c>
    </row>
    <row r="34">
      <c r="A34" s="13" t="s">
        <v>159</v>
      </c>
      <c r="B34" s="14"/>
    </row>
    <row r="35">
      <c r="A35" s="13" t="s">
        <v>160</v>
      </c>
      <c r="B35" s="15">
        <f>162750</f>
        <v>162750</v>
      </c>
    </row>
    <row r="36">
      <c r="A36" s="13" t="s">
        <v>161</v>
      </c>
      <c r="B36" s="15">
        <f>475000</f>
        <v>475000</v>
      </c>
    </row>
    <row r="37">
      <c r="A37" s="13" t="s">
        <v>162</v>
      </c>
      <c r="B37" s="15">
        <f>110000</f>
        <v>110000</v>
      </c>
    </row>
    <row r="38">
      <c r="A38" s="13" t="s">
        <v>163</v>
      </c>
      <c r="B38" s="17">
        <f>((B35)+(B36))+(B37)</f>
        <v>747750</v>
      </c>
    </row>
    <row r="39">
      <c r="A39" s="13" t="s">
        <v>164</v>
      </c>
      <c r="B39" s="14"/>
    </row>
    <row r="40">
      <c r="A40" s="13" t="s">
        <v>165</v>
      </c>
      <c r="B40" s="15">
        <f>0</f>
        <v>0</v>
      </c>
    </row>
    <row r="41">
      <c r="A41" s="13" t="s">
        <v>166</v>
      </c>
      <c r="B41" s="17">
        <f>B40</f>
        <v>0</v>
      </c>
    </row>
    <row r="42">
      <c r="A42" s="13" t="s">
        <v>167</v>
      </c>
      <c r="B42" s="17">
        <f>((B33)+(B38))+(B41)</f>
        <v>1743314.45</v>
      </c>
    </row>
    <row r="43">
      <c r="A43" s="13" t="s">
        <v>168</v>
      </c>
      <c r="B43" s="14"/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5">
        <f>50171</f>
        <v>50171</v>
      </c>
    </row>
    <row r="48">
      <c r="A48" s="13" t="s">
        <v>173</v>
      </c>
      <c r="B48" s="17">
        <f>B47</f>
        <v>50171</v>
      </c>
    </row>
    <row r="49">
      <c r="A49" s="13" t="s">
        <v>174</v>
      </c>
      <c r="B49" s="14"/>
    </row>
    <row r="50">
      <c r="A50" s="13" t="s">
        <v>175</v>
      </c>
      <c r="B50" s="15">
        <f>0</f>
        <v>0</v>
      </c>
    </row>
    <row r="51">
      <c r="A51" s="13" t="s">
        <v>177</v>
      </c>
      <c r="B51" s="17">
        <f>B50</f>
        <v>0</v>
      </c>
    </row>
    <row r="52">
      <c r="A52" s="13" t="s">
        <v>178</v>
      </c>
      <c r="B52" s="14"/>
    </row>
    <row r="53">
      <c r="A53" s="13" t="s">
        <v>179</v>
      </c>
      <c r="B53" s="15">
        <f t="shared" ref="B53:B55" si="2">0</f>
        <v>0</v>
      </c>
    </row>
    <row r="54">
      <c r="A54" s="13" t="s">
        <v>180</v>
      </c>
      <c r="B54" s="15">
        <f t="shared" si="2"/>
        <v>0</v>
      </c>
    </row>
    <row r="55">
      <c r="A55" s="13" t="s">
        <v>181</v>
      </c>
      <c r="B55" s="15">
        <f t="shared" si="2"/>
        <v>0</v>
      </c>
    </row>
    <row r="56">
      <c r="A56" s="13" t="s">
        <v>182</v>
      </c>
      <c r="B56" s="17">
        <f>((B53)+(B54))+(B55)</f>
        <v>0</v>
      </c>
    </row>
    <row r="57">
      <c r="A57" s="13" t="s">
        <v>183</v>
      </c>
      <c r="B57" s="17">
        <f>((B48)+(B51))+(B56)</f>
        <v>50171</v>
      </c>
    </row>
    <row r="58">
      <c r="A58" s="13" t="s">
        <v>184</v>
      </c>
      <c r="B58" s="17">
        <f>B57</f>
        <v>50171</v>
      </c>
    </row>
    <row r="59">
      <c r="A59" s="13" t="s">
        <v>185</v>
      </c>
      <c r="B59" s="14"/>
    </row>
    <row r="60">
      <c r="A60" s="13" t="s">
        <v>186</v>
      </c>
      <c r="B60" s="15">
        <f>0</f>
        <v>0</v>
      </c>
    </row>
    <row r="61">
      <c r="A61" s="13" t="s">
        <v>187</v>
      </c>
      <c r="B61" s="15">
        <f>1654366.5</f>
        <v>1654366.5</v>
      </c>
    </row>
    <row r="62">
      <c r="A62" s="13" t="s">
        <v>188</v>
      </c>
      <c r="B62" s="15">
        <f>38776.95</f>
        <v>38776.95</v>
      </c>
    </row>
    <row r="63">
      <c r="A63" s="13" t="s">
        <v>189</v>
      </c>
      <c r="B63" s="17">
        <f>((B60)+(B61))+(B62)</f>
        <v>1693143.45</v>
      </c>
    </row>
    <row r="64">
      <c r="A64" s="13" t="s">
        <v>190</v>
      </c>
      <c r="B64" s="17">
        <f>(B58)+(B63)</f>
        <v>1743314.45</v>
      </c>
    </row>
    <row r="65">
      <c r="A65" s="13"/>
      <c r="B65" s="14"/>
    </row>
    <row r="66"/>
    <row r="67"/>
    <row r="68">
      <c r="A68" s="19" t="s">
        <v>325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298</v>
      </c>
    </row>
    <row r="3">
      <c r="A3" s="9" t="s">
        <v>299</v>
      </c>
    </row>
    <row r="5">
      <c r="A5" s="10"/>
      <c r="B5" s="11" t="s">
        <v>119</v>
      </c>
      <c r="C5" s="11" t="s">
        <v>326</v>
      </c>
      <c r="D5" s="11" t="s">
        <v>120</v>
      </c>
      <c r="E5" s="11" t="s">
        <v>121</v>
      </c>
      <c r="F5" s="11" t="s">
        <v>122</v>
      </c>
      <c r="G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268</v>
      </c>
      <c r="B7" s="14"/>
      <c r="C7" s="14"/>
      <c r="D7" s="15">
        <f>18519.48</f>
        <v>18519.48</v>
      </c>
      <c r="E7" s="14"/>
      <c r="F7" s="14"/>
      <c r="G7" s="15">
        <f t="shared" ref="G7:G36" si="1">((((B7)+(C7))+(D7))+(E7))+(F7)</f>
        <v>18519.48</v>
      </c>
    </row>
    <row r="8">
      <c r="A8" s="13" t="s">
        <v>16</v>
      </c>
      <c r="B8" s="14"/>
      <c r="C8" s="14"/>
      <c r="D8" s="14"/>
      <c r="E8" s="14"/>
      <c r="F8" s="14"/>
      <c r="G8" s="15">
        <f t="shared" si="1"/>
        <v>0</v>
      </c>
    </row>
    <row r="9">
      <c r="A9" s="13" t="s">
        <v>17</v>
      </c>
      <c r="B9" s="15">
        <f>12196.2</f>
        <v>12196.2</v>
      </c>
      <c r="C9" s="14"/>
      <c r="D9" s="14"/>
      <c r="E9" s="14"/>
      <c r="F9" s="14"/>
      <c r="G9" s="15">
        <f t="shared" si="1"/>
        <v>12196.2</v>
      </c>
    </row>
    <row r="10">
      <c r="A10" s="13" t="s">
        <v>18</v>
      </c>
      <c r="B10" s="17">
        <f t="shared" ref="B10:F10" si="2">(B8)+(B9)</f>
        <v>12196.2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1"/>
        <v>12196.2</v>
      </c>
    </row>
    <row r="11">
      <c r="A11" s="13" t="s">
        <v>22</v>
      </c>
      <c r="B11" s="14"/>
      <c r="C11" s="14"/>
      <c r="D11" s="14"/>
      <c r="E11" s="14"/>
      <c r="F11" s="14"/>
      <c r="G11" s="15">
        <f t="shared" si="1"/>
        <v>0</v>
      </c>
    </row>
    <row r="12">
      <c r="A12" s="13" t="s">
        <v>25</v>
      </c>
      <c r="B12" s="14"/>
      <c r="C12" s="14"/>
      <c r="D12" s="14"/>
      <c r="E12" s="15">
        <f t="shared" ref="E12:E13" si="3">5645.83</f>
        <v>5645.83</v>
      </c>
      <c r="F12" s="14"/>
      <c r="G12" s="15">
        <f t="shared" si="1"/>
        <v>5645.83</v>
      </c>
    </row>
    <row r="13">
      <c r="A13" s="13" t="s">
        <v>26</v>
      </c>
      <c r="B13" s="14"/>
      <c r="C13" s="14"/>
      <c r="D13" s="14"/>
      <c r="E13" s="15">
        <f t="shared" si="3"/>
        <v>5645.83</v>
      </c>
      <c r="F13" s="14"/>
      <c r="G13" s="15">
        <f t="shared" si="1"/>
        <v>5645.83</v>
      </c>
    </row>
    <row r="14">
      <c r="A14" s="13" t="s">
        <v>28</v>
      </c>
      <c r="B14" s="14"/>
      <c r="C14" s="14"/>
      <c r="D14" s="14"/>
      <c r="E14" s="15">
        <f>5922.59</f>
        <v>5922.59</v>
      </c>
      <c r="F14" s="14"/>
      <c r="G14" s="15">
        <f t="shared" si="1"/>
        <v>5922.59</v>
      </c>
    </row>
    <row r="15">
      <c r="A15" s="13" t="s">
        <v>29</v>
      </c>
      <c r="B15" s="14"/>
      <c r="C15" s="14"/>
      <c r="D15" s="14"/>
      <c r="E15" s="15">
        <f>3640.93</f>
        <v>3640.93</v>
      </c>
      <c r="F15" s="14"/>
      <c r="G15" s="15">
        <f t="shared" si="1"/>
        <v>3640.93</v>
      </c>
    </row>
    <row r="16">
      <c r="A16" s="13" t="s">
        <v>30</v>
      </c>
      <c r="B16" s="14"/>
      <c r="C16" s="14"/>
      <c r="D16" s="14"/>
      <c r="E16" s="15">
        <f>5649.83</f>
        <v>5649.83</v>
      </c>
      <c r="F16" s="14"/>
      <c r="G16" s="15">
        <f t="shared" si="1"/>
        <v>5649.83</v>
      </c>
    </row>
    <row r="17">
      <c r="A17" s="13" t="s">
        <v>31</v>
      </c>
      <c r="B17" s="14"/>
      <c r="C17" s="14"/>
      <c r="D17" s="14"/>
      <c r="E17" s="15">
        <f>2489.79</f>
        <v>2489.79</v>
      </c>
      <c r="F17" s="14"/>
      <c r="G17" s="15">
        <f t="shared" si="1"/>
        <v>2489.79</v>
      </c>
    </row>
    <row r="18">
      <c r="A18" s="13" t="s">
        <v>34</v>
      </c>
      <c r="B18" s="14"/>
      <c r="C18" s="14"/>
      <c r="D18" s="14"/>
      <c r="E18" s="15">
        <f>20672.46</f>
        <v>20672.46</v>
      </c>
      <c r="F18" s="14"/>
      <c r="G18" s="15">
        <f t="shared" si="1"/>
        <v>20672.46</v>
      </c>
    </row>
    <row r="19">
      <c r="A19" s="13" t="s">
        <v>35</v>
      </c>
      <c r="B19" s="14"/>
      <c r="C19" s="14"/>
      <c r="D19" s="14"/>
      <c r="E19" s="15">
        <f>27618.02</f>
        <v>27618.02</v>
      </c>
      <c r="F19" s="14"/>
      <c r="G19" s="15">
        <f t="shared" si="1"/>
        <v>27618.02</v>
      </c>
    </row>
    <row r="20">
      <c r="A20" s="13" t="s">
        <v>36</v>
      </c>
      <c r="B20" s="14"/>
      <c r="C20" s="14"/>
      <c r="D20" s="14"/>
      <c r="E20" s="15">
        <f>17602.56</f>
        <v>17602.56</v>
      </c>
      <c r="F20" s="14"/>
      <c r="G20" s="15">
        <f t="shared" si="1"/>
        <v>17602.56</v>
      </c>
    </row>
    <row r="21">
      <c r="A21" s="13" t="s">
        <v>312</v>
      </c>
      <c r="B21" s="14"/>
      <c r="C21" s="14"/>
      <c r="D21" s="14"/>
      <c r="E21" s="15">
        <f t="shared" ref="E21:E22" si="4">5629.45</f>
        <v>5629.45</v>
      </c>
      <c r="F21" s="14"/>
      <c r="G21" s="15">
        <f t="shared" si="1"/>
        <v>5629.45</v>
      </c>
    </row>
    <row r="22">
      <c r="A22" s="13" t="s">
        <v>313</v>
      </c>
      <c r="B22" s="14"/>
      <c r="C22" s="14"/>
      <c r="D22" s="14"/>
      <c r="E22" s="15">
        <f t="shared" si="4"/>
        <v>5629.45</v>
      </c>
      <c r="F22" s="14"/>
      <c r="G22" s="15">
        <f t="shared" si="1"/>
        <v>5629.45</v>
      </c>
    </row>
    <row r="23">
      <c r="A23" s="13" t="s">
        <v>314</v>
      </c>
      <c r="B23" s="14"/>
      <c r="C23" s="14"/>
      <c r="D23" s="14"/>
      <c r="E23" s="15">
        <f>22928.15</f>
        <v>22928.15</v>
      </c>
      <c r="F23" s="14"/>
      <c r="G23" s="15">
        <f t="shared" si="1"/>
        <v>22928.15</v>
      </c>
    </row>
    <row r="24">
      <c r="A24" s="13" t="s">
        <v>37</v>
      </c>
      <c r="B24" s="14"/>
      <c r="C24" s="14"/>
      <c r="D24" s="14"/>
      <c r="E24" s="15">
        <f>41407.07</f>
        <v>41407.07</v>
      </c>
      <c r="F24" s="14"/>
      <c r="G24" s="15">
        <f t="shared" si="1"/>
        <v>41407.07</v>
      </c>
    </row>
    <row r="25">
      <c r="A25" s="13" t="s">
        <v>38</v>
      </c>
      <c r="B25" s="14"/>
      <c r="C25" s="14"/>
      <c r="D25" s="14"/>
      <c r="E25" s="15">
        <f>11131.03</f>
        <v>11131.03</v>
      </c>
      <c r="F25" s="14"/>
      <c r="G25" s="15">
        <f t="shared" si="1"/>
        <v>11131.03</v>
      </c>
    </row>
    <row r="26">
      <c r="A26" s="13" t="s">
        <v>39</v>
      </c>
      <c r="B26" s="14"/>
      <c r="C26" s="14"/>
      <c r="D26" s="14"/>
      <c r="E26" s="15">
        <f>3642.43</f>
        <v>3642.43</v>
      </c>
      <c r="F26" s="14"/>
      <c r="G26" s="15">
        <f t="shared" si="1"/>
        <v>3642.43</v>
      </c>
    </row>
    <row r="27">
      <c r="A27" s="13" t="s">
        <v>40</v>
      </c>
      <c r="B27" s="17">
        <f t="shared" ref="B27:F27" si="5">(((((((((((((((B11)+(B12))+(B13))+(B14))+(B15))+(B16))+(B17))+(B18))+(B19))+(B20))+(B21))+(B22))+(B23))+(B24))+(B25))+(B26)</f>
        <v>0</v>
      </c>
      <c r="C27" s="17">
        <f t="shared" si="5"/>
        <v>0</v>
      </c>
      <c r="D27" s="17">
        <f t="shared" si="5"/>
        <v>0</v>
      </c>
      <c r="E27" s="17">
        <f t="shared" si="5"/>
        <v>185255.42</v>
      </c>
      <c r="F27" s="17">
        <f t="shared" si="5"/>
        <v>0</v>
      </c>
      <c r="G27" s="17">
        <f t="shared" si="1"/>
        <v>185255.42</v>
      </c>
    </row>
    <row r="28">
      <c r="A28" s="13" t="s">
        <v>41</v>
      </c>
      <c r="B28" s="14"/>
      <c r="C28" s="14"/>
      <c r="D28" s="14"/>
      <c r="E28" s="14"/>
      <c r="F28" s="14"/>
      <c r="G28" s="15">
        <f t="shared" si="1"/>
        <v>0</v>
      </c>
    </row>
    <row r="29">
      <c r="A29" s="13" t="s">
        <v>43</v>
      </c>
      <c r="B29" s="14"/>
      <c r="C29" s="15">
        <f>-2064.67</f>
        <v>-2064.67</v>
      </c>
      <c r="D29" s="15">
        <f>19251.35</f>
        <v>19251.35</v>
      </c>
      <c r="E29" s="14"/>
      <c r="F29" s="15">
        <f>109941.83</f>
        <v>109941.83</v>
      </c>
      <c r="G29" s="15">
        <f t="shared" si="1"/>
        <v>127128.51</v>
      </c>
    </row>
    <row r="30">
      <c r="A30" s="13" t="s">
        <v>44</v>
      </c>
      <c r="B30" s="14"/>
      <c r="C30" s="14"/>
      <c r="D30" s="14"/>
      <c r="E30" s="14"/>
      <c r="F30" s="15">
        <f>46659.21</f>
        <v>46659.21</v>
      </c>
      <c r="G30" s="15">
        <f t="shared" si="1"/>
        <v>46659.21</v>
      </c>
    </row>
    <row r="31">
      <c r="A31" s="13" t="s">
        <v>46</v>
      </c>
      <c r="B31" s="14"/>
      <c r="C31" s="14"/>
      <c r="D31" s="15">
        <f>1617.68</f>
        <v>1617.68</v>
      </c>
      <c r="E31" s="14"/>
      <c r="F31" s="14"/>
      <c r="G31" s="15">
        <f t="shared" si="1"/>
        <v>1617.68</v>
      </c>
    </row>
    <row r="32">
      <c r="A32" s="13" t="s">
        <v>47</v>
      </c>
      <c r="B32" s="14"/>
      <c r="C32" s="14"/>
      <c r="D32" s="15">
        <f>557.82</f>
        <v>557.82</v>
      </c>
      <c r="E32" s="14"/>
      <c r="F32" s="14"/>
      <c r="G32" s="15">
        <f t="shared" si="1"/>
        <v>557.82</v>
      </c>
    </row>
    <row r="33">
      <c r="A33" s="13" t="s">
        <v>48</v>
      </c>
      <c r="B33" s="17">
        <f t="shared" ref="B33:F33" si="6">(((B29)+(B30))+(B31))+(B32)</f>
        <v>0</v>
      </c>
      <c r="C33" s="17">
        <f t="shared" si="6"/>
        <v>-2064.67</v>
      </c>
      <c r="D33" s="17">
        <f t="shared" si="6"/>
        <v>21426.85</v>
      </c>
      <c r="E33" s="17">
        <f t="shared" si="6"/>
        <v>0</v>
      </c>
      <c r="F33" s="17">
        <f t="shared" si="6"/>
        <v>156601.04</v>
      </c>
      <c r="G33" s="17">
        <f t="shared" si="1"/>
        <v>175963.22</v>
      </c>
    </row>
    <row r="34">
      <c r="A34" s="13" t="s">
        <v>49</v>
      </c>
      <c r="B34" s="17">
        <f t="shared" ref="B34:F34" si="7">(B28)+(B33)</f>
        <v>0</v>
      </c>
      <c r="C34" s="17">
        <f t="shared" si="7"/>
        <v>-2064.67</v>
      </c>
      <c r="D34" s="17">
        <f t="shared" si="7"/>
        <v>21426.85</v>
      </c>
      <c r="E34" s="17">
        <f t="shared" si="7"/>
        <v>0</v>
      </c>
      <c r="F34" s="17">
        <f t="shared" si="7"/>
        <v>156601.04</v>
      </c>
      <c r="G34" s="17">
        <f t="shared" si="1"/>
        <v>175963.22</v>
      </c>
    </row>
    <row r="35">
      <c r="A35" s="13" t="s">
        <v>2</v>
      </c>
      <c r="B35" s="17">
        <f t="shared" ref="B35:F35" si="8">(((B7)+(B10))+(B27))+(B34)</f>
        <v>12196.2</v>
      </c>
      <c r="C35" s="17">
        <f t="shared" si="8"/>
        <v>-2064.67</v>
      </c>
      <c r="D35" s="17">
        <f t="shared" si="8"/>
        <v>39946.33</v>
      </c>
      <c r="E35" s="17">
        <f t="shared" si="8"/>
        <v>185255.42</v>
      </c>
      <c r="F35" s="17">
        <f t="shared" si="8"/>
        <v>156601.04</v>
      </c>
      <c r="G35" s="17">
        <f t="shared" si="1"/>
        <v>391934.32</v>
      </c>
    </row>
    <row r="36">
      <c r="A36" s="13" t="s">
        <v>50</v>
      </c>
      <c r="B36" s="17">
        <f t="shared" ref="B36:F36" si="9">(B35)-(0)</f>
        <v>12196.2</v>
      </c>
      <c r="C36" s="17">
        <f t="shared" si="9"/>
        <v>-2064.67</v>
      </c>
      <c r="D36" s="17">
        <f t="shared" si="9"/>
        <v>39946.33</v>
      </c>
      <c r="E36" s="17">
        <f t="shared" si="9"/>
        <v>185255.42</v>
      </c>
      <c r="F36" s="17">
        <f t="shared" si="9"/>
        <v>156601.04</v>
      </c>
      <c r="G36" s="17">
        <f t="shared" si="1"/>
        <v>391934.32</v>
      </c>
    </row>
    <row r="37">
      <c r="A37" s="13" t="s">
        <v>51</v>
      </c>
      <c r="B37" s="14"/>
      <c r="C37" s="14"/>
      <c r="D37" s="14"/>
      <c r="E37" s="14"/>
      <c r="F37" s="14"/>
      <c r="G37" s="14"/>
    </row>
    <row r="38">
      <c r="A38" s="13" t="s">
        <v>52</v>
      </c>
      <c r="B38" s="14"/>
      <c r="C38" s="14"/>
      <c r="D38" s="14"/>
      <c r="E38" s="14"/>
      <c r="F38" s="14"/>
      <c r="G38" s="15">
        <f t="shared" ref="G38:G100" si="10">((((B38)+(C38))+(D38))+(E38))+(F38)</f>
        <v>0</v>
      </c>
    </row>
    <row r="39">
      <c r="A39" s="13" t="s">
        <v>53</v>
      </c>
      <c r="B39" s="14"/>
      <c r="C39" s="14"/>
      <c r="D39" s="14"/>
      <c r="E39" s="14"/>
      <c r="F39" s="14"/>
      <c r="G39" s="15">
        <f t="shared" si="10"/>
        <v>0</v>
      </c>
    </row>
    <row r="40">
      <c r="A40" s="13" t="s">
        <v>54</v>
      </c>
      <c r="B40" s="15">
        <f>3000</f>
        <v>3000</v>
      </c>
      <c r="C40" s="14"/>
      <c r="D40" s="14"/>
      <c r="E40" s="14"/>
      <c r="F40" s="14"/>
      <c r="G40" s="15">
        <f t="shared" si="10"/>
        <v>3000</v>
      </c>
    </row>
    <row r="41">
      <c r="A41" s="13" t="s">
        <v>55</v>
      </c>
      <c r="B41" s="15">
        <f>1874.17</f>
        <v>1874.17</v>
      </c>
      <c r="C41" s="14"/>
      <c r="D41" s="14"/>
      <c r="E41" s="14"/>
      <c r="F41" s="14"/>
      <c r="G41" s="15">
        <f t="shared" si="10"/>
        <v>1874.17</v>
      </c>
    </row>
    <row r="42">
      <c r="A42" s="13" t="s">
        <v>56</v>
      </c>
      <c r="B42" s="17">
        <f t="shared" ref="B42:F42" si="11">((B39)+(B40))+(B41)</f>
        <v>4874.17</v>
      </c>
      <c r="C42" s="17">
        <f t="shared" si="11"/>
        <v>0</v>
      </c>
      <c r="D42" s="17">
        <f t="shared" si="11"/>
        <v>0</v>
      </c>
      <c r="E42" s="17">
        <f t="shared" si="11"/>
        <v>0</v>
      </c>
      <c r="F42" s="17">
        <f t="shared" si="11"/>
        <v>0</v>
      </c>
      <c r="G42" s="17">
        <f t="shared" si="10"/>
        <v>4874.17</v>
      </c>
    </row>
    <row r="43">
      <c r="A43" s="13" t="s">
        <v>57</v>
      </c>
      <c r="B43" s="15">
        <f>4331.6</f>
        <v>4331.6</v>
      </c>
      <c r="C43" s="14"/>
      <c r="D43" s="14"/>
      <c r="E43" s="14"/>
      <c r="F43" s="14"/>
      <c r="G43" s="15">
        <f t="shared" si="10"/>
        <v>4331.6</v>
      </c>
    </row>
    <row r="44">
      <c r="A44" s="13" t="s">
        <v>60</v>
      </c>
      <c r="B44" s="15">
        <f>1110.49</f>
        <v>1110.49</v>
      </c>
      <c r="C44" s="14"/>
      <c r="D44" s="15">
        <f>150</f>
        <v>150</v>
      </c>
      <c r="E44" s="14"/>
      <c r="F44" s="14"/>
      <c r="G44" s="15">
        <f t="shared" si="10"/>
        <v>1260.49</v>
      </c>
    </row>
    <row r="45">
      <c r="A45" s="13" t="s">
        <v>61</v>
      </c>
      <c r="B45" s="15">
        <f>2769.86</f>
        <v>2769.86</v>
      </c>
      <c r="C45" s="14"/>
      <c r="D45" s="14"/>
      <c r="E45" s="14"/>
      <c r="F45" s="14"/>
      <c r="G45" s="15">
        <f t="shared" si="10"/>
        <v>2769.86</v>
      </c>
    </row>
    <row r="46">
      <c r="A46" s="13" t="s">
        <v>62</v>
      </c>
      <c r="B46" s="15">
        <f>7509.99</f>
        <v>7509.99</v>
      </c>
      <c r="C46" s="14"/>
      <c r="D46" s="14"/>
      <c r="E46" s="14"/>
      <c r="F46" s="14"/>
      <c r="G46" s="15">
        <f t="shared" si="10"/>
        <v>7509.99</v>
      </c>
    </row>
    <row r="47">
      <c r="A47" s="13" t="s">
        <v>63</v>
      </c>
      <c r="B47" s="15">
        <f>900.22</f>
        <v>900.22</v>
      </c>
      <c r="C47" s="15">
        <f>100</f>
        <v>100</v>
      </c>
      <c r="D47" s="14"/>
      <c r="E47" s="14"/>
      <c r="F47" s="14"/>
      <c r="G47" s="15">
        <f t="shared" si="10"/>
        <v>1000.22</v>
      </c>
    </row>
    <row r="48">
      <c r="A48" s="13" t="s">
        <v>65</v>
      </c>
      <c r="B48" s="15">
        <f>237.25</f>
        <v>237.25</v>
      </c>
      <c r="C48" s="14"/>
      <c r="D48" s="14"/>
      <c r="E48" s="14"/>
      <c r="F48" s="14"/>
      <c r="G48" s="15">
        <f t="shared" si="10"/>
        <v>237.25</v>
      </c>
    </row>
    <row r="49">
      <c r="A49" s="13" t="s">
        <v>315</v>
      </c>
      <c r="B49" s="15">
        <f>58.35</f>
        <v>58.35</v>
      </c>
      <c r="C49" s="14"/>
      <c r="D49" s="14"/>
      <c r="E49" s="14"/>
      <c r="F49" s="14"/>
      <c r="G49" s="15">
        <f t="shared" si="10"/>
        <v>58.35</v>
      </c>
    </row>
    <row r="50">
      <c r="A50" s="13" t="s">
        <v>66</v>
      </c>
      <c r="B50" s="15">
        <f>882</f>
        <v>882</v>
      </c>
      <c r="C50" s="14"/>
      <c r="D50" s="14"/>
      <c r="E50" s="14"/>
      <c r="F50" s="14"/>
      <c r="G50" s="15">
        <f t="shared" si="10"/>
        <v>882</v>
      </c>
    </row>
    <row r="51">
      <c r="A51" s="13" t="s">
        <v>67</v>
      </c>
      <c r="B51" s="15">
        <f>1086.9</f>
        <v>1086.9</v>
      </c>
      <c r="C51" s="14"/>
      <c r="D51" s="14"/>
      <c r="E51" s="14"/>
      <c r="F51" s="14"/>
      <c r="G51" s="15">
        <f t="shared" si="10"/>
        <v>1086.9</v>
      </c>
    </row>
    <row r="52">
      <c r="A52" s="13" t="s">
        <v>68</v>
      </c>
      <c r="B52" s="15">
        <f>841.59</f>
        <v>841.59</v>
      </c>
      <c r="C52" s="14"/>
      <c r="D52" s="14"/>
      <c r="E52" s="14"/>
      <c r="F52" s="14"/>
      <c r="G52" s="15">
        <f t="shared" si="10"/>
        <v>841.59</v>
      </c>
    </row>
    <row r="53">
      <c r="A53" s="13" t="s">
        <v>69</v>
      </c>
      <c r="B53" s="14"/>
      <c r="C53" s="14"/>
      <c r="D53" s="14"/>
      <c r="E53" s="14"/>
      <c r="F53" s="14"/>
      <c r="G53" s="15">
        <f t="shared" si="10"/>
        <v>0</v>
      </c>
    </row>
    <row r="54">
      <c r="A54" s="13" t="s">
        <v>316</v>
      </c>
      <c r="B54" s="15">
        <f>582.12</f>
        <v>582.12</v>
      </c>
      <c r="C54" s="14"/>
      <c r="D54" s="14"/>
      <c r="E54" s="14"/>
      <c r="F54" s="14"/>
      <c r="G54" s="15">
        <f t="shared" si="10"/>
        <v>582.12</v>
      </c>
    </row>
    <row r="55">
      <c r="A55" s="13" t="s">
        <v>70</v>
      </c>
      <c r="B55" s="15">
        <f>416.34</f>
        <v>416.34</v>
      </c>
      <c r="C55" s="14"/>
      <c r="D55" s="14"/>
      <c r="E55" s="14"/>
      <c r="F55" s="14"/>
      <c r="G55" s="15">
        <f t="shared" si="10"/>
        <v>416.34</v>
      </c>
    </row>
    <row r="56">
      <c r="A56" s="13" t="s">
        <v>72</v>
      </c>
      <c r="B56" s="17">
        <f t="shared" ref="B56:F56" si="12">((B53)+(B54))+(B55)</f>
        <v>998.46</v>
      </c>
      <c r="C56" s="17">
        <f t="shared" si="12"/>
        <v>0</v>
      </c>
      <c r="D56" s="17">
        <f t="shared" si="12"/>
        <v>0</v>
      </c>
      <c r="E56" s="17">
        <f t="shared" si="12"/>
        <v>0</v>
      </c>
      <c r="F56" s="17">
        <f t="shared" si="12"/>
        <v>0</v>
      </c>
      <c r="G56" s="17">
        <f t="shared" si="10"/>
        <v>998.46</v>
      </c>
    </row>
    <row r="57">
      <c r="A57" s="13" t="s">
        <v>73</v>
      </c>
      <c r="B57" s="15">
        <f>762</f>
        <v>762</v>
      </c>
      <c r="C57" s="14"/>
      <c r="D57" s="14"/>
      <c r="E57" s="14"/>
      <c r="F57" s="14"/>
      <c r="G57" s="15">
        <f t="shared" si="10"/>
        <v>762</v>
      </c>
    </row>
    <row r="58">
      <c r="A58" s="13" t="s">
        <v>74</v>
      </c>
      <c r="B58" s="17">
        <f t="shared" ref="B58:F58" si="13">(((((((((((((B38)+(B42))+(B43))+(B44))+(B45))+(B46))+(B47))+(B48))+(B49))+(B50))+(B51))+(B52))+(B56))+(B57)</f>
        <v>26362.88</v>
      </c>
      <c r="C58" s="17">
        <f t="shared" si="13"/>
        <v>100</v>
      </c>
      <c r="D58" s="17">
        <f t="shared" si="13"/>
        <v>150</v>
      </c>
      <c r="E58" s="17">
        <f t="shared" si="13"/>
        <v>0</v>
      </c>
      <c r="F58" s="17">
        <f t="shared" si="13"/>
        <v>0</v>
      </c>
      <c r="G58" s="17">
        <f t="shared" si="10"/>
        <v>26612.88</v>
      </c>
    </row>
    <row r="59">
      <c r="A59" s="13" t="s">
        <v>76</v>
      </c>
      <c r="B59" s="14"/>
      <c r="C59" s="14"/>
      <c r="D59" s="14"/>
      <c r="E59" s="14"/>
      <c r="F59" s="14"/>
      <c r="G59" s="15">
        <f t="shared" si="10"/>
        <v>0</v>
      </c>
    </row>
    <row r="60">
      <c r="A60" s="13" t="s">
        <v>77</v>
      </c>
      <c r="B60" s="14"/>
      <c r="C60" s="14"/>
      <c r="D60" s="14"/>
      <c r="E60" s="14"/>
      <c r="F60" s="14"/>
      <c r="G60" s="15">
        <f t="shared" si="10"/>
        <v>0</v>
      </c>
    </row>
    <row r="61">
      <c r="A61" s="13" t="s">
        <v>78</v>
      </c>
      <c r="B61" s="14"/>
      <c r="C61" s="14"/>
      <c r="D61" s="14"/>
      <c r="E61" s="14"/>
      <c r="F61" s="14"/>
      <c r="G61" s="15">
        <f t="shared" si="10"/>
        <v>0</v>
      </c>
    </row>
    <row r="62">
      <c r="A62" s="13" t="s">
        <v>82</v>
      </c>
      <c r="B62" s="14"/>
      <c r="C62" s="14"/>
      <c r="D62" s="14"/>
      <c r="E62" s="15">
        <f>1241.43</f>
        <v>1241.43</v>
      </c>
      <c r="F62" s="14"/>
      <c r="G62" s="15">
        <f t="shared" si="10"/>
        <v>1241.43</v>
      </c>
    </row>
    <row r="63">
      <c r="A63" s="13" t="s">
        <v>83</v>
      </c>
      <c r="B63" s="14"/>
      <c r="C63" s="14"/>
      <c r="D63" s="14"/>
      <c r="E63" s="15">
        <f>1278.56</f>
        <v>1278.56</v>
      </c>
      <c r="F63" s="14"/>
      <c r="G63" s="15">
        <f t="shared" si="10"/>
        <v>1278.56</v>
      </c>
    </row>
    <row r="64">
      <c r="A64" s="13" t="s">
        <v>84</v>
      </c>
      <c r="B64" s="14"/>
      <c r="C64" s="14"/>
      <c r="D64" s="14"/>
      <c r="E64" s="15">
        <f>25397.17</f>
        <v>25397.17</v>
      </c>
      <c r="F64" s="14"/>
      <c r="G64" s="15">
        <f t="shared" si="10"/>
        <v>25397.17</v>
      </c>
    </row>
    <row r="65">
      <c r="A65" s="13" t="s">
        <v>86</v>
      </c>
      <c r="B65" s="14"/>
      <c r="C65" s="14"/>
      <c r="D65" s="14"/>
      <c r="E65" s="15">
        <f>1787.23</f>
        <v>1787.23</v>
      </c>
      <c r="F65" s="14"/>
      <c r="G65" s="15">
        <f t="shared" si="10"/>
        <v>1787.23</v>
      </c>
    </row>
    <row r="66">
      <c r="A66" s="13" t="s">
        <v>87</v>
      </c>
      <c r="B66" s="14"/>
      <c r="C66" s="14"/>
      <c r="D66" s="14"/>
      <c r="E66" s="15">
        <f>1470.87</f>
        <v>1470.87</v>
      </c>
      <c r="F66" s="14"/>
      <c r="G66" s="15">
        <f t="shared" si="10"/>
        <v>1470.87</v>
      </c>
    </row>
    <row r="67">
      <c r="A67" s="13" t="s">
        <v>317</v>
      </c>
      <c r="B67" s="14"/>
      <c r="C67" s="14"/>
      <c r="D67" s="14"/>
      <c r="E67" s="15">
        <f>3612.66</f>
        <v>3612.66</v>
      </c>
      <c r="F67" s="14"/>
      <c r="G67" s="15">
        <f t="shared" si="10"/>
        <v>3612.66</v>
      </c>
    </row>
    <row r="68">
      <c r="A68" s="13" t="s">
        <v>88</v>
      </c>
      <c r="B68" s="14"/>
      <c r="C68" s="14"/>
      <c r="D68" s="14"/>
      <c r="E68" s="15">
        <f>854.94</f>
        <v>854.94</v>
      </c>
      <c r="F68" s="14"/>
      <c r="G68" s="15">
        <f t="shared" si="10"/>
        <v>854.94</v>
      </c>
    </row>
    <row r="69">
      <c r="A69" s="13" t="s">
        <v>89</v>
      </c>
      <c r="B69" s="14"/>
      <c r="C69" s="14"/>
      <c r="D69" s="14"/>
      <c r="E69" s="15">
        <f>41202.38</f>
        <v>41202.38</v>
      </c>
      <c r="F69" s="14"/>
      <c r="G69" s="15">
        <f t="shared" si="10"/>
        <v>41202.38</v>
      </c>
    </row>
    <row r="70">
      <c r="A70" s="13" t="s">
        <v>90</v>
      </c>
      <c r="B70" s="14"/>
      <c r="C70" s="14"/>
      <c r="D70" s="14"/>
      <c r="E70" s="15">
        <f>18187.15</f>
        <v>18187.15</v>
      </c>
      <c r="F70" s="14"/>
      <c r="G70" s="15">
        <f t="shared" si="10"/>
        <v>18187.15</v>
      </c>
    </row>
    <row r="71">
      <c r="A71" s="13" t="s">
        <v>318</v>
      </c>
      <c r="B71" s="14"/>
      <c r="C71" s="14"/>
      <c r="D71" s="14"/>
      <c r="E71" s="15">
        <f>6733.01</f>
        <v>6733.01</v>
      </c>
      <c r="F71" s="14"/>
      <c r="G71" s="15">
        <f t="shared" si="10"/>
        <v>6733.01</v>
      </c>
    </row>
    <row r="72">
      <c r="A72" s="13" t="s">
        <v>319</v>
      </c>
      <c r="B72" s="14"/>
      <c r="C72" s="14"/>
      <c r="D72" s="14"/>
      <c r="E72" s="15">
        <f>4333.33</f>
        <v>4333.33</v>
      </c>
      <c r="F72" s="14"/>
      <c r="G72" s="15">
        <f t="shared" si="10"/>
        <v>4333.33</v>
      </c>
    </row>
    <row r="73">
      <c r="A73" s="13" t="s">
        <v>320</v>
      </c>
      <c r="B73" s="14"/>
      <c r="C73" s="14"/>
      <c r="D73" s="14"/>
      <c r="E73" s="15">
        <f>11562.54</f>
        <v>11562.54</v>
      </c>
      <c r="F73" s="14"/>
      <c r="G73" s="15">
        <f t="shared" si="10"/>
        <v>11562.54</v>
      </c>
    </row>
    <row r="74">
      <c r="A74" s="13" t="s">
        <v>91</v>
      </c>
      <c r="B74" s="14"/>
      <c r="C74" s="14"/>
      <c r="D74" s="14"/>
      <c r="E74" s="15">
        <f>5295.4</f>
        <v>5295.4</v>
      </c>
      <c r="F74" s="14"/>
      <c r="G74" s="15">
        <f t="shared" si="10"/>
        <v>5295.4</v>
      </c>
    </row>
    <row r="75">
      <c r="A75" s="13" t="s">
        <v>92</v>
      </c>
      <c r="B75" s="14"/>
      <c r="C75" s="14"/>
      <c r="D75" s="14"/>
      <c r="E75" s="15">
        <f>26055.66</f>
        <v>26055.66</v>
      </c>
      <c r="F75" s="14"/>
      <c r="G75" s="15">
        <f t="shared" si="10"/>
        <v>26055.66</v>
      </c>
    </row>
    <row r="76">
      <c r="A76" s="13" t="s">
        <v>93</v>
      </c>
      <c r="B76" s="14"/>
      <c r="C76" s="14"/>
      <c r="D76" s="14"/>
      <c r="E76" s="15">
        <f>1673.63</f>
        <v>1673.63</v>
      </c>
      <c r="F76" s="14"/>
      <c r="G76" s="15">
        <f t="shared" si="10"/>
        <v>1673.63</v>
      </c>
    </row>
    <row r="77">
      <c r="A77" s="13" t="s">
        <v>94</v>
      </c>
      <c r="B77" s="17">
        <f t="shared" ref="B77:F77" si="14">(((((((((((((((B61)+(B62))+(B63))+(B64))+(B65))+(B66))+(B67))+(B68))+(B69))+(B70))+(B71))+(B72))+(B73))+(B74))+(B75))+(B76)</f>
        <v>0</v>
      </c>
      <c r="C77" s="17">
        <f t="shared" si="14"/>
        <v>0</v>
      </c>
      <c r="D77" s="17">
        <f t="shared" si="14"/>
        <v>0</v>
      </c>
      <c r="E77" s="17">
        <f t="shared" si="14"/>
        <v>150685.96</v>
      </c>
      <c r="F77" s="17">
        <f t="shared" si="14"/>
        <v>0</v>
      </c>
      <c r="G77" s="17">
        <f t="shared" si="10"/>
        <v>150685.96</v>
      </c>
    </row>
    <row r="78">
      <c r="A78" s="13" t="s">
        <v>95</v>
      </c>
      <c r="B78" s="17">
        <f t="shared" ref="B78:F78" si="15">(B60)+(B77)</f>
        <v>0</v>
      </c>
      <c r="C78" s="17">
        <f t="shared" si="15"/>
        <v>0</v>
      </c>
      <c r="D78" s="17">
        <f t="shared" si="15"/>
        <v>0</v>
      </c>
      <c r="E78" s="17">
        <f t="shared" si="15"/>
        <v>150685.96</v>
      </c>
      <c r="F78" s="17">
        <f t="shared" si="15"/>
        <v>0</v>
      </c>
      <c r="G78" s="17">
        <f t="shared" si="10"/>
        <v>150685.96</v>
      </c>
    </row>
    <row r="79">
      <c r="A79" s="13" t="s">
        <v>96</v>
      </c>
      <c r="B79" s="15">
        <f>658.5</f>
        <v>658.5</v>
      </c>
      <c r="C79" s="14"/>
      <c r="D79" s="14"/>
      <c r="E79" s="15">
        <f>5257.5</f>
        <v>5257.5</v>
      </c>
      <c r="F79" s="14"/>
      <c r="G79" s="15">
        <f t="shared" si="10"/>
        <v>5916</v>
      </c>
    </row>
    <row r="80">
      <c r="A80" s="13" t="s">
        <v>97</v>
      </c>
      <c r="B80" s="14"/>
      <c r="C80" s="14"/>
      <c r="D80" s="15">
        <f>55</f>
        <v>55</v>
      </c>
      <c r="E80" s="14"/>
      <c r="F80" s="14"/>
      <c r="G80" s="15">
        <f t="shared" si="10"/>
        <v>55</v>
      </c>
    </row>
    <row r="81">
      <c r="A81" s="13" t="s">
        <v>98</v>
      </c>
      <c r="B81" s="14"/>
      <c r="C81" s="15">
        <f>1750</f>
        <v>1750</v>
      </c>
      <c r="D81" s="14"/>
      <c r="E81" s="14"/>
      <c r="F81" s="14"/>
      <c r="G81" s="15">
        <f t="shared" si="10"/>
        <v>1750</v>
      </c>
    </row>
    <row r="82">
      <c r="A82" s="13" t="s">
        <v>99</v>
      </c>
      <c r="B82" s="14"/>
      <c r="C82" s="14"/>
      <c r="D82" s="15">
        <f>31358.63</f>
        <v>31358.63</v>
      </c>
      <c r="E82" s="14"/>
      <c r="F82" s="15">
        <f>75207.38</f>
        <v>75207.38</v>
      </c>
      <c r="G82" s="15">
        <f t="shared" si="10"/>
        <v>106566.01</v>
      </c>
    </row>
    <row r="83">
      <c r="A83" s="13" t="s">
        <v>101</v>
      </c>
      <c r="B83" s="14"/>
      <c r="C83" s="14"/>
      <c r="D83" s="14"/>
      <c r="E83" s="14"/>
      <c r="F83" s="14"/>
      <c r="G83" s="15">
        <f t="shared" si="10"/>
        <v>0</v>
      </c>
    </row>
    <row r="84">
      <c r="A84" s="13" t="s">
        <v>241</v>
      </c>
      <c r="B84" s="14"/>
      <c r="C84" s="15">
        <f>400</f>
        <v>400</v>
      </c>
      <c r="D84" s="14"/>
      <c r="E84" s="14"/>
      <c r="F84" s="15">
        <f>19705.41</f>
        <v>19705.41</v>
      </c>
      <c r="G84" s="15">
        <f t="shared" si="10"/>
        <v>20105.41</v>
      </c>
    </row>
    <row r="85">
      <c r="A85" s="13" t="s">
        <v>103</v>
      </c>
      <c r="B85" s="14"/>
      <c r="C85" s="14"/>
      <c r="D85" s="14"/>
      <c r="E85" s="14"/>
      <c r="F85" s="15">
        <f>12000</f>
        <v>12000</v>
      </c>
      <c r="G85" s="15">
        <f t="shared" si="10"/>
        <v>12000</v>
      </c>
    </row>
    <row r="86">
      <c r="A86" s="13" t="s">
        <v>104</v>
      </c>
      <c r="B86" s="14"/>
      <c r="C86" s="14"/>
      <c r="D86" s="14"/>
      <c r="E86" s="14"/>
      <c r="F86" s="15">
        <f>593.54</f>
        <v>593.54</v>
      </c>
      <c r="G86" s="15">
        <f t="shared" si="10"/>
        <v>593.54</v>
      </c>
    </row>
    <row r="87">
      <c r="A87" s="13" t="s">
        <v>105</v>
      </c>
      <c r="B87" s="17">
        <f t="shared" ref="B87:F87" si="16">(((B83)+(B84))+(B85))+(B86)</f>
        <v>0</v>
      </c>
      <c r="C87" s="17">
        <f t="shared" si="16"/>
        <v>400</v>
      </c>
      <c r="D87" s="17">
        <f t="shared" si="16"/>
        <v>0</v>
      </c>
      <c r="E87" s="17">
        <f t="shared" si="16"/>
        <v>0</v>
      </c>
      <c r="F87" s="17">
        <f t="shared" si="16"/>
        <v>32298.95</v>
      </c>
      <c r="G87" s="17">
        <f t="shared" si="10"/>
        <v>32698.95</v>
      </c>
    </row>
    <row r="88">
      <c r="A88" s="13" t="s">
        <v>106</v>
      </c>
      <c r="B88" s="14"/>
      <c r="C88" s="14"/>
      <c r="D88" s="14"/>
      <c r="E88" s="14"/>
      <c r="F88" s="15">
        <f>3631.25</f>
        <v>3631.25</v>
      </c>
      <c r="G88" s="15">
        <f t="shared" si="10"/>
        <v>3631.25</v>
      </c>
    </row>
    <row r="89">
      <c r="A89" s="13" t="s">
        <v>107</v>
      </c>
      <c r="B89" s="14"/>
      <c r="C89" s="15">
        <f>236.25</f>
        <v>236.25</v>
      </c>
      <c r="D89" s="14"/>
      <c r="E89" s="14"/>
      <c r="F89" s="15">
        <f>18771.59</f>
        <v>18771.59</v>
      </c>
      <c r="G89" s="15">
        <f t="shared" si="10"/>
        <v>19007.84</v>
      </c>
    </row>
    <row r="90">
      <c r="A90" s="13" t="s">
        <v>108</v>
      </c>
      <c r="B90" s="14"/>
      <c r="C90" s="14"/>
      <c r="D90" s="14"/>
      <c r="E90" s="14"/>
      <c r="F90" s="15">
        <f>2981.25</f>
        <v>2981.25</v>
      </c>
      <c r="G90" s="15">
        <f t="shared" si="10"/>
        <v>2981.25</v>
      </c>
    </row>
    <row r="91">
      <c r="A91" s="13" t="s">
        <v>109</v>
      </c>
      <c r="B91" s="14"/>
      <c r="C91" s="14"/>
      <c r="D91" s="15">
        <f>214.23</f>
        <v>214.23</v>
      </c>
      <c r="E91" s="14"/>
      <c r="F91" s="15">
        <f>1124.66</f>
        <v>1124.66</v>
      </c>
      <c r="G91" s="15">
        <f t="shared" si="10"/>
        <v>1338.89</v>
      </c>
    </row>
    <row r="92">
      <c r="A92" s="13" t="s">
        <v>321</v>
      </c>
      <c r="B92" s="14"/>
      <c r="C92" s="14"/>
      <c r="D92" s="14"/>
      <c r="E92" s="14"/>
      <c r="F92" s="15">
        <f>104.61</f>
        <v>104.61</v>
      </c>
      <c r="G92" s="15">
        <f t="shared" si="10"/>
        <v>104.61</v>
      </c>
    </row>
    <row r="93">
      <c r="A93" s="13" t="s">
        <v>110</v>
      </c>
      <c r="B93" s="17">
        <f t="shared" ref="B93:F93" si="17">(((((((B81)+(B82))+(B87))+(B88))+(B89))+(B90))+(B91))+(B92)</f>
        <v>0</v>
      </c>
      <c r="C93" s="17">
        <f t="shared" si="17"/>
        <v>2386.25</v>
      </c>
      <c r="D93" s="17">
        <f t="shared" si="17"/>
        <v>31572.86</v>
      </c>
      <c r="E93" s="17">
        <f t="shared" si="17"/>
        <v>0</v>
      </c>
      <c r="F93" s="17">
        <f t="shared" si="17"/>
        <v>134119.69</v>
      </c>
      <c r="G93" s="17">
        <f t="shared" si="10"/>
        <v>168078.8</v>
      </c>
    </row>
    <row r="94">
      <c r="A94" s="13" t="s">
        <v>322</v>
      </c>
      <c r="B94" s="14"/>
      <c r="C94" s="14"/>
      <c r="D94" s="15">
        <f>130</f>
        <v>130</v>
      </c>
      <c r="E94" s="14"/>
      <c r="F94" s="15">
        <f>503.4</f>
        <v>503.4</v>
      </c>
      <c r="G94" s="15">
        <f t="shared" si="10"/>
        <v>633.4</v>
      </c>
    </row>
    <row r="95">
      <c r="A95" s="13" t="s">
        <v>111</v>
      </c>
      <c r="B95" s="14"/>
      <c r="C95" s="14"/>
      <c r="D95" s="15">
        <f>33.47</f>
        <v>33.47</v>
      </c>
      <c r="E95" s="14"/>
      <c r="F95" s="15">
        <f>1141.86</f>
        <v>1141.86</v>
      </c>
      <c r="G95" s="15">
        <f t="shared" si="10"/>
        <v>1175.33</v>
      </c>
    </row>
    <row r="96">
      <c r="A96" s="13" t="s">
        <v>112</v>
      </c>
      <c r="B96" s="17">
        <f t="shared" ref="B96:F96" si="18">(((B80)+(B93))+(B94))+(B95)</f>
        <v>0</v>
      </c>
      <c r="C96" s="17">
        <f t="shared" si="18"/>
        <v>2386.25</v>
      </c>
      <c r="D96" s="17">
        <f t="shared" si="18"/>
        <v>31791.33</v>
      </c>
      <c r="E96" s="17">
        <f t="shared" si="18"/>
        <v>0</v>
      </c>
      <c r="F96" s="17">
        <f t="shared" si="18"/>
        <v>135764.95</v>
      </c>
      <c r="G96" s="17">
        <f t="shared" si="10"/>
        <v>169942.53</v>
      </c>
    </row>
    <row r="97">
      <c r="A97" s="13" t="s">
        <v>113</v>
      </c>
      <c r="B97" s="17">
        <f t="shared" ref="B97:F97" si="19">(((B59)+(B78))+(B79))+(B96)</f>
        <v>658.5</v>
      </c>
      <c r="C97" s="17">
        <f t="shared" si="19"/>
        <v>2386.25</v>
      </c>
      <c r="D97" s="17">
        <f t="shared" si="19"/>
        <v>31791.33</v>
      </c>
      <c r="E97" s="17">
        <f t="shared" si="19"/>
        <v>155943.46</v>
      </c>
      <c r="F97" s="17">
        <f t="shared" si="19"/>
        <v>135764.95</v>
      </c>
      <c r="G97" s="17">
        <f t="shared" si="10"/>
        <v>326544.49</v>
      </c>
    </row>
    <row r="98">
      <c r="A98" s="13" t="s">
        <v>114</v>
      </c>
      <c r="B98" s="17">
        <f t="shared" ref="B98:F98" si="20">(B58)+(B97)</f>
        <v>27021.38</v>
      </c>
      <c r="C98" s="17">
        <f t="shared" si="20"/>
        <v>2486.25</v>
      </c>
      <c r="D98" s="17">
        <f t="shared" si="20"/>
        <v>31941.33</v>
      </c>
      <c r="E98" s="17">
        <f t="shared" si="20"/>
        <v>155943.46</v>
      </c>
      <c r="F98" s="17">
        <f t="shared" si="20"/>
        <v>135764.95</v>
      </c>
      <c r="G98" s="17">
        <f t="shared" si="10"/>
        <v>353157.37</v>
      </c>
    </row>
    <row r="99">
      <c r="A99" s="13" t="s">
        <v>115</v>
      </c>
      <c r="B99" s="20">
        <f t="shared" ref="B99:F99" si="21">(B36)-(B98)</f>
        <v>-14825.18</v>
      </c>
      <c r="C99" s="20">
        <f t="shared" si="21"/>
        <v>-4550.92</v>
      </c>
      <c r="D99" s="17">
        <f t="shared" si="21"/>
        <v>8005</v>
      </c>
      <c r="E99" s="17">
        <f t="shared" si="21"/>
        <v>29311.96</v>
      </c>
      <c r="F99" s="17">
        <f t="shared" si="21"/>
        <v>20836.09</v>
      </c>
      <c r="G99" s="17">
        <f t="shared" si="10"/>
        <v>38776.95</v>
      </c>
    </row>
    <row r="100">
      <c r="A100" s="13" t="s">
        <v>4</v>
      </c>
      <c r="B100" s="20">
        <f t="shared" ref="B100:F100" si="22">(B99)+(0)</f>
        <v>-14825.18</v>
      </c>
      <c r="C100" s="20">
        <f t="shared" si="22"/>
        <v>-4550.92</v>
      </c>
      <c r="D100" s="17">
        <f t="shared" si="22"/>
        <v>8005</v>
      </c>
      <c r="E100" s="17">
        <f t="shared" si="22"/>
        <v>29311.96</v>
      </c>
      <c r="F100" s="17">
        <f t="shared" si="22"/>
        <v>20836.09</v>
      </c>
      <c r="G100" s="17">
        <f t="shared" si="10"/>
        <v>38776.95</v>
      </c>
    </row>
    <row r="101">
      <c r="A101" s="13"/>
      <c r="B101" s="14"/>
      <c r="C101" s="14"/>
      <c r="D101" s="14"/>
      <c r="E101" s="14"/>
      <c r="F101" s="14"/>
      <c r="G101" s="14"/>
    </row>
    <row r="102"/>
    <row r="103"/>
    <row r="104">
      <c r="A104" s="19" t="s">
        <v>327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04:G104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5" width="16.63"/>
    <col customWidth="1" min="6" max="26" width="7.63"/>
  </cols>
  <sheetData>
    <row r="1">
      <c r="A1" s="8" t="s">
        <v>6</v>
      </c>
    </row>
    <row r="2">
      <c r="A2" s="8" t="s">
        <v>298</v>
      </c>
    </row>
    <row r="3">
      <c r="A3" s="9" t="s">
        <v>328</v>
      </c>
    </row>
    <row r="5">
      <c r="A5" s="10"/>
      <c r="B5" s="11" t="s">
        <v>264</v>
      </c>
      <c r="C5" s="11" t="s">
        <v>265</v>
      </c>
      <c r="D5" s="11" t="s">
        <v>266</v>
      </c>
      <c r="E5" s="11" t="s">
        <v>9</v>
      </c>
    </row>
    <row r="6">
      <c r="A6" s="13" t="s">
        <v>14</v>
      </c>
      <c r="B6" s="14"/>
      <c r="C6" s="14"/>
      <c r="D6" s="14"/>
      <c r="E6" s="14"/>
    </row>
    <row r="7">
      <c r="A7" s="13" t="s">
        <v>16</v>
      </c>
      <c r="B7" s="14"/>
      <c r="C7" s="14"/>
      <c r="D7" s="14"/>
      <c r="E7" s="15">
        <f t="shared" ref="E7:E30" si="1">((B7)+(C7))+(D7)</f>
        <v>0</v>
      </c>
    </row>
    <row r="8">
      <c r="A8" s="13" t="s">
        <v>17</v>
      </c>
      <c r="B8" s="15">
        <f>896.54</f>
        <v>896.54</v>
      </c>
      <c r="C8" s="14"/>
      <c r="D8" s="14"/>
      <c r="E8" s="15">
        <f t="shared" si="1"/>
        <v>896.54</v>
      </c>
    </row>
    <row r="9">
      <c r="A9" s="13" t="s">
        <v>18</v>
      </c>
      <c r="B9" s="17">
        <f t="shared" ref="B9:D9" si="2">(B7)+(B8)</f>
        <v>896.54</v>
      </c>
      <c r="C9" s="17">
        <f t="shared" si="2"/>
        <v>0</v>
      </c>
      <c r="D9" s="17">
        <f t="shared" si="2"/>
        <v>0</v>
      </c>
      <c r="E9" s="17">
        <f t="shared" si="1"/>
        <v>896.54</v>
      </c>
    </row>
    <row r="10">
      <c r="A10" s="13" t="s">
        <v>19</v>
      </c>
      <c r="B10" s="14"/>
      <c r="C10" s="14"/>
      <c r="D10" s="14"/>
      <c r="E10" s="15">
        <f t="shared" si="1"/>
        <v>0</v>
      </c>
    </row>
    <row r="11">
      <c r="A11" s="13" t="s">
        <v>20</v>
      </c>
      <c r="B11" s="14"/>
      <c r="C11" s="14"/>
      <c r="D11" s="15">
        <f>0</f>
        <v>0</v>
      </c>
      <c r="E11" s="15">
        <f t="shared" si="1"/>
        <v>0</v>
      </c>
    </row>
    <row r="12">
      <c r="A12" s="13" t="s">
        <v>21</v>
      </c>
      <c r="B12" s="17">
        <f t="shared" ref="B12:D12" si="3">(B10)+(B11)</f>
        <v>0</v>
      </c>
      <c r="C12" s="17">
        <f t="shared" si="3"/>
        <v>0</v>
      </c>
      <c r="D12" s="17">
        <f t="shared" si="3"/>
        <v>0</v>
      </c>
      <c r="E12" s="17">
        <f t="shared" si="1"/>
        <v>0</v>
      </c>
    </row>
    <row r="13">
      <c r="A13" s="13" t="s">
        <v>22</v>
      </c>
      <c r="B13" s="14"/>
      <c r="C13" s="14"/>
      <c r="D13" s="14"/>
      <c r="E13" s="15">
        <f t="shared" si="1"/>
        <v>0</v>
      </c>
    </row>
    <row r="14">
      <c r="A14" s="13" t="s">
        <v>25</v>
      </c>
      <c r="B14" s="14"/>
      <c r="C14" s="15">
        <f t="shared" ref="C14:C15" si="4">2577.08</f>
        <v>2577.08</v>
      </c>
      <c r="D14" s="14"/>
      <c r="E14" s="15">
        <f t="shared" si="1"/>
        <v>2577.08</v>
      </c>
    </row>
    <row r="15">
      <c r="A15" s="13" t="s">
        <v>26</v>
      </c>
      <c r="B15" s="14"/>
      <c r="C15" s="15">
        <f t="shared" si="4"/>
        <v>2577.08</v>
      </c>
      <c r="D15" s="14"/>
      <c r="E15" s="15">
        <f t="shared" si="1"/>
        <v>2577.08</v>
      </c>
    </row>
    <row r="16">
      <c r="A16" s="13" t="s">
        <v>27</v>
      </c>
      <c r="B16" s="14"/>
      <c r="C16" s="15">
        <f>33266.72</f>
        <v>33266.72</v>
      </c>
      <c r="D16" s="14"/>
      <c r="E16" s="15">
        <f t="shared" si="1"/>
        <v>33266.72</v>
      </c>
    </row>
    <row r="17">
      <c r="A17" s="13" t="s">
        <v>28</v>
      </c>
      <c r="B17" s="14"/>
      <c r="C17" s="15">
        <f>2586.08</f>
        <v>2586.08</v>
      </c>
      <c r="D17" s="14"/>
      <c r="E17" s="15">
        <f t="shared" si="1"/>
        <v>2586.08</v>
      </c>
    </row>
    <row r="18">
      <c r="A18" s="13" t="s">
        <v>29</v>
      </c>
      <c r="B18" s="14"/>
      <c r="C18" s="15">
        <f>2573.85</f>
        <v>2573.85</v>
      </c>
      <c r="D18" s="14"/>
      <c r="E18" s="15">
        <f t="shared" si="1"/>
        <v>2573.85</v>
      </c>
    </row>
    <row r="19">
      <c r="A19" s="13" t="s">
        <v>31</v>
      </c>
      <c r="B19" s="14"/>
      <c r="C19" s="15">
        <f>2576.08</f>
        <v>2576.08</v>
      </c>
      <c r="D19" s="14"/>
      <c r="E19" s="15">
        <f t="shared" si="1"/>
        <v>2576.08</v>
      </c>
    </row>
    <row r="20">
      <c r="A20" s="13" t="s">
        <v>32</v>
      </c>
      <c r="B20" s="14"/>
      <c r="C20" s="15">
        <f>15000</f>
        <v>15000</v>
      </c>
      <c r="D20" s="14"/>
      <c r="E20" s="15">
        <f t="shared" si="1"/>
        <v>15000</v>
      </c>
    </row>
    <row r="21">
      <c r="A21" s="13" t="s">
        <v>33</v>
      </c>
      <c r="B21" s="14"/>
      <c r="C21" s="15">
        <f>8157.31</f>
        <v>8157.31</v>
      </c>
      <c r="D21" s="14"/>
      <c r="E21" s="15">
        <f t="shared" si="1"/>
        <v>8157.31</v>
      </c>
    </row>
    <row r="22">
      <c r="A22" s="13" t="s">
        <v>34</v>
      </c>
      <c r="B22" s="14"/>
      <c r="C22" s="15">
        <f t="shared" ref="C22:C23" si="5">9738.23</f>
        <v>9738.23</v>
      </c>
      <c r="D22" s="14"/>
      <c r="E22" s="15">
        <f t="shared" si="1"/>
        <v>9738.23</v>
      </c>
    </row>
    <row r="23">
      <c r="A23" s="13" t="s">
        <v>35</v>
      </c>
      <c r="B23" s="14"/>
      <c r="C23" s="15">
        <f t="shared" si="5"/>
        <v>9738.23</v>
      </c>
      <c r="D23" s="14"/>
      <c r="E23" s="15">
        <f t="shared" si="1"/>
        <v>9738.23</v>
      </c>
    </row>
    <row r="24">
      <c r="A24" s="13" t="s">
        <v>36</v>
      </c>
      <c r="B24" s="14"/>
      <c r="C24" s="15">
        <f>18839.93</f>
        <v>18839.93</v>
      </c>
      <c r="D24" s="14"/>
      <c r="E24" s="15">
        <f t="shared" si="1"/>
        <v>18839.93</v>
      </c>
    </row>
    <row r="25">
      <c r="A25" s="13" t="s">
        <v>37</v>
      </c>
      <c r="B25" s="14"/>
      <c r="C25" s="15">
        <f>4876.41</f>
        <v>4876.41</v>
      </c>
      <c r="D25" s="14"/>
      <c r="E25" s="15">
        <f t="shared" si="1"/>
        <v>4876.41</v>
      </c>
    </row>
    <row r="26">
      <c r="A26" s="13" t="s">
        <v>38</v>
      </c>
      <c r="B26" s="14"/>
      <c r="C26" s="15">
        <f>4874.4</f>
        <v>4874.4</v>
      </c>
      <c r="D26" s="14"/>
      <c r="E26" s="15">
        <f t="shared" si="1"/>
        <v>4874.4</v>
      </c>
    </row>
    <row r="27">
      <c r="A27" s="13" t="s">
        <v>39</v>
      </c>
      <c r="B27" s="14"/>
      <c r="C27" s="15">
        <f>2577.08</f>
        <v>2577.08</v>
      </c>
      <c r="D27" s="14"/>
      <c r="E27" s="15">
        <f t="shared" si="1"/>
        <v>2577.08</v>
      </c>
    </row>
    <row r="28">
      <c r="A28" s="13" t="s">
        <v>40</v>
      </c>
      <c r="B28" s="17">
        <f t="shared" ref="B28:D28" si="6">((((((((((((((B13)+(B14))+(B15))+(B16))+(B17))+(B18))+(B19))+(B20))+(B21))+(B22))+(B23))+(B24))+(B25))+(B26))+(B27)</f>
        <v>0</v>
      </c>
      <c r="C28" s="17">
        <f t="shared" si="6"/>
        <v>119958.48</v>
      </c>
      <c r="D28" s="17">
        <f t="shared" si="6"/>
        <v>0</v>
      </c>
      <c r="E28" s="17">
        <f t="shared" si="1"/>
        <v>119958.48</v>
      </c>
    </row>
    <row r="29">
      <c r="A29" s="13" t="s">
        <v>2</v>
      </c>
      <c r="B29" s="17">
        <f t="shared" ref="B29:D29" si="7">((B9)+(B12))+(B28)</f>
        <v>896.54</v>
      </c>
      <c r="C29" s="17">
        <f t="shared" si="7"/>
        <v>119958.48</v>
      </c>
      <c r="D29" s="17">
        <f t="shared" si="7"/>
        <v>0</v>
      </c>
      <c r="E29" s="17">
        <f t="shared" si="1"/>
        <v>120855.02</v>
      </c>
    </row>
    <row r="30">
      <c r="A30" s="44" t="s">
        <v>50</v>
      </c>
      <c r="B30" s="45">
        <f t="shared" ref="B30:D30" si="8">(B29)-(0)</f>
        <v>896.54</v>
      </c>
      <c r="C30" s="45">
        <f t="shared" si="8"/>
        <v>119958.48</v>
      </c>
      <c r="D30" s="45">
        <f t="shared" si="8"/>
        <v>0</v>
      </c>
      <c r="E30" s="45">
        <f t="shared" si="1"/>
        <v>120855.02</v>
      </c>
    </row>
    <row r="31">
      <c r="A31" s="13" t="s">
        <v>51</v>
      </c>
      <c r="B31" s="14"/>
      <c r="C31" s="14"/>
      <c r="D31" s="14"/>
      <c r="E31" s="14"/>
    </row>
    <row r="32">
      <c r="A32" s="13" t="s">
        <v>52</v>
      </c>
      <c r="B32" s="14"/>
      <c r="C32" s="14"/>
      <c r="D32" s="14"/>
      <c r="E32" s="15">
        <f t="shared" ref="E32:E68" si="9">((B32)+(C32))+(D32)</f>
        <v>0</v>
      </c>
    </row>
    <row r="33">
      <c r="A33" s="13" t="s">
        <v>53</v>
      </c>
      <c r="B33" s="14"/>
      <c r="C33" s="14"/>
      <c r="D33" s="14"/>
      <c r="E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5">
        <f t="shared" si="9"/>
        <v>0</v>
      </c>
    </row>
    <row r="36">
      <c r="A36" s="13" t="s">
        <v>56</v>
      </c>
      <c r="B36" s="17">
        <f t="shared" ref="B36:D36" si="10">((B33)+(B34))+(B35)</f>
        <v>3000</v>
      </c>
      <c r="C36" s="17">
        <f t="shared" si="10"/>
        <v>0</v>
      </c>
      <c r="D36" s="17">
        <f t="shared" si="10"/>
        <v>0</v>
      </c>
      <c r="E36" s="1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5">
        <f t="shared" si="9"/>
        <v>0</v>
      </c>
    </row>
    <row r="38">
      <c r="A38" s="13" t="s">
        <v>60</v>
      </c>
      <c r="B38" s="15">
        <f>50</f>
        <v>50</v>
      </c>
      <c r="C38" s="15">
        <f>108.7</f>
        <v>108.7</v>
      </c>
      <c r="D38" s="15">
        <f>23.28</f>
        <v>23.28</v>
      </c>
      <c r="E38" s="15">
        <f t="shared" si="9"/>
        <v>181.98</v>
      </c>
    </row>
    <row r="39">
      <c r="A39" s="13" t="s">
        <v>61</v>
      </c>
      <c r="B39" s="15">
        <f>3328.32</f>
        <v>3328.32</v>
      </c>
      <c r="C39" s="14"/>
      <c r="D39" s="14"/>
      <c r="E39" s="15">
        <f t="shared" si="9"/>
        <v>3328.32</v>
      </c>
    </row>
    <row r="40">
      <c r="A40" s="13" t="s">
        <v>62</v>
      </c>
      <c r="B40" s="14"/>
      <c r="C40" s="15">
        <f>46.13</f>
        <v>46.13</v>
      </c>
      <c r="D40" s="15">
        <f>1291.76</f>
        <v>1291.76</v>
      </c>
      <c r="E40" s="15">
        <f t="shared" si="9"/>
        <v>1337.89</v>
      </c>
    </row>
    <row r="41">
      <c r="A41" s="13" t="s">
        <v>63</v>
      </c>
      <c r="B41" s="14"/>
      <c r="C41" s="14"/>
      <c r="D41" s="15">
        <f>1238.7</f>
        <v>1238.7</v>
      </c>
      <c r="E41" s="15">
        <f t="shared" si="9"/>
        <v>1238.7</v>
      </c>
    </row>
    <row r="42">
      <c r="A42" s="13" t="s">
        <v>66</v>
      </c>
      <c r="B42" s="15">
        <f>99</f>
        <v>99</v>
      </c>
      <c r="C42" s="15">
        <f t="shared" ref="C42:D42" si="11">187.5</f>
        <v>187.5</v>
      </c>
      <c r="D42" s="15">
        <f t="shared" si="11"/>
        <v>187.5</v>
      </c>
      <c r="E42" s="15">
        <f t="shared" si="9"/>
        <v>474</v>
      </c>
    </row>
    <row r="43">
      <c r="A43" s="13" t="s">
        <v>67</v>
      </c>
      <c r="B43" s="15">
        <f>100</f>
        <v>100</v>
      </c>
      <c r="C43" s="14"/>
      <c r="D43" s="14"/>
      <c r="E43" s="15">
        <f t="shared" si="9"/>
        <v>100</v>
      </c>
    </row>
    <row r="44">
      <c r="A44" s="13" t="s">
        <v>68</v>
      </c>
      <c r="B44" s="15">
        <f>48</f>
        <v>48</v>
      </c>
      <c r="C44" s="14"/>
      <c r="D44" s="14"/>
      <c r="E44" s="15">
        <f t="shared" si="9"/>
        <v>48</v>
      </c>
    </row>
    <row r="45">
      <c r="A45" s="13" t="s">
        <v>69</v>
      </c>
      <c r="B45" s="14"/>
      <c r="C45" s="14"/>
      <c r="D45" s="14"/>
      <c r="E45" s="15">
        <f t="shared" si="9"/>
        <v>0</v>
      </c>
    </row>
    <row r="46">
      <c r="A46" s="13" t="s">
        <v>70</v>
      </c>
      <c r="B46" s="14"/>
      <c r="C46" s="15">
        <f>680.75</f>
        <v>680.75</v>
      </c>
      <c r="D46" s="14"/>
      <c r="E46" s="15">
        <f t="shared" si="9"/>
        <v>680.75</v>
      </c>
    </row>
    <row r="47">
      <c r="A47" s="13" t="s">
        <v>72</v>
      </c>
      <c r="B47" s="17">
        <f t="shared" ref="B47:D47" si="12">(B45)+(B46)</f>
        <v>0</v>
      </c>
      <c r="C47" s="17">
        <f t="shared" si="12"/>
        <v>680.75</v>
      </c>
      <c r="D47" s="17">
        <f t="shared" si="12"/>
        <v>0</v>
      </c>
      <c r="E47" s="17">
        <f t="shared" si="9"/>
        <v>680.75</v>
      </c>
    </row>
    <row r="48">
      <c r="A48" s="13" t="s">
        <v>73</v>
      </c>
      <c r="B48" s="15">
        <f t="shared" ref="B48:D48" si="13">85</f>
        <v>85</v>
      </c>
      <c r="C48" s="15">
        <f t="shared" si="13"/>
        <v>85</v>
      </c>
      <c r="D48" s="15">
        <f t="shared" si="13"/>
        <v>85</v>
      </c>
      <c r="E48" s="15">
        <f t="shared" si="9"/>
        <v>255</v>
      </c>
    </row>
    <row r="49">
      <c r="A49" s="13" t="s">
        <v>74</v>
      </c>
      <c r="B49" s="17">
        <f t="shared" ref="B49:D49" si="14">(((((((((((B32)+(B36))+(B37))+(B38))+(B39))+(B40))+(B41))+(B42))+(B43))+(B44))+(B47))+(B48)</f>
        <v>6710.32</v>
      </c>
      <c r="C49" s="17">
        <f t="shared" si="14"/>
        <v>1108.08</v>
      </c>
      <c r="D49" s="17">
        <f t="shared" si="14"/>
        <v>2826.24</v>
      </c>
      <c r="E49" s="17">
        <f t="shared" si="9"/>
        <v>10644.64</v>
      </c>
    </row>
    <row r="50">
      <c r="A50" s="13" t="s">
        <v>75</v>
      </c>
      <c r="B50" s="15">
        <f>188.73</f>
        <v>188.73</v>
      </c>
      <c r="C50" s="14"/>
      <c r="D50" s="14"/>
      <c r="E50" s="15">
        <f t="shared" si="9"/>
        <v>188.73</v>
      </c>
    </row>
    <row r="51">
      <c r="A51" s="13" t="s">
        <v>76</v>
      </c>
      <c r="B51" s="14"/>
      <c r="C51" s="14"/>
      <c r="D51" s="14"/>
      <c r="E51" s="15">
        <f t="shared" si="9"/>
        <v>0</v>
      </c>
    </row>
    <row r="52">
      <c r="A52" s="13" t="s">
        <v>97</v>
      </c>
      <c r="B52" s="14"/>
      <c r="C52" s="14"/>
      <c r="D52" s="14"/>
      <c r="E52" s="15">
        <f t="shared" si="9"/>
        <v>0</v>
      </c>
    </row>
    <row r="53">
      <c r="A53" s="13" t="s">
        <v>98</v>
      </c>
      <c r="B53" s="14"/>
      <c r="C53" s="14"/>
      <c r="D53" s="14"/>
      <c r="E53" s="15">
        <f t="shared" si="9"/>
        <v>0</v>
      </c>
    </row>
    <row r="54">
      <c r="A54" s="13" t="s">
        <v>99</v>
      </c>
      <c r="B54" s="15">
        <f>3904.28</f>
        <v>3904.28</v>
      </c>
      <c r="C54" s="15">
        <f>9536.96</f>
        <v>9536.96</v>
      </c>
      <c r="D54" s="15">
        <f>6410.09</f>
        <v>6410.09</v>
      </c>
      <c r="E54" s="15">
        <f t="shared" si="9"/>
        <v>19851.33</v>
      </c>
    </row>
    <row r="55">
      <c r="A55" s="13" t="s">
        <v>101</v>
      </c>
      <c r="B55" s="14"/>
      <c r="C55" s="14"/>
      <c r="D55" s="14"/>
      <c r="E55" s="15">
        <f t="shared" si="9"/>
        <v>0</v>
      </c>
    </row>
    <row r="56">
      <c r="A56" s="13" t="s">
        <v>102</v>
      </c>
      <c r="B56" s="15">
        <f>497.45</f>
        <v>497.45</v>
      </c>
      <c r="C56" s="14"/>
      <c r="D56" s="14"/>
      <c r="E56" s="15">
        <f t="shared" si="9"/>
        <v>497.45</v>
      </c>
    </row>
    <row r="57">
      <c r="A57" s="13" t="s">
        <v>104</v>
      </c>
      <c r="B57" s="15">
        <f>74.52</f>
        <v>74.52</v>
      </c>
      <c r="C57" s="14"/>
      <c r="D57" s="14"/>
      <c r="E57" s="15">
        <f t="shared" si="9"/>
        <v>74.52</v>
      </c>
    </row>
    <row r="58">
      <c r="A58" s="13" t="s">
        <v>105</v>
      </c>
      <c r="B58" s="17">
        <f t="shared" ref="B58:D58" si="15">((B55)+(B56))+(B57)</f>
        <v>571.97</v>
      </c>
      <c r="C58" s="17">
        <f t="shared" si="15"/>
        <v>0</v>
      </c>
      <c r="D58" s="17">
        <f t="shared" si="15"/>
        <v>0</v>
      </c>
      <c r="E58" s="17">
        <f t="shared" si="9"/>
        <v>571.97</v>
      </c>
    </row>
    <row r="59">
      <c r="A59" s="13" t="s">
        <v>106</v>
      </c>
      <c r="B59" s="15">
        <f>55</f>
        <v>55</v>
      </c>
      <c r="C59" s="14"/>
      <c r="D59" s="14"/>
      <c r="E59" s="15">
        <f t="shared" si="9"/>
        <v>55</v>
      </c>
    </row>
    <row r="60">
      <c r="A60" s="13" t="s">
        <v>107</v>
      </c>
      <c r="B60" s="15">
        <f>4378.09</f>
        <v>4378.09</v>
      </c>
      <c r="C60" s="14"/>
      <c r="D60" s="14"/>
      <c r="E60" s="15">
        <f t="shared" si="9"/>
        <v>4378.09</v>
      </c>
    </row>
    <row r="61">
      <c r="A61" s="13" t="s">
        <v>108</v>
      </c>
      <c r="B61" s="15">
        <f>506.25</f>
        <v>506.25</v>
      </c>
      <c r="C61" s="14"/>
      <c r="D61" s="14"/>
      <c r="E61" s="15">
        <f t="shared" si="9"/>
        <v>506.25</v>
      </c>
    </row>
    <row r="62">
      <c r="A62" s="13" t="s">
        <v>110</v>
      </c>
      <c r="B62" s="17">
        <f t="shared" ref="B62:D62" si="16">(((((B53)+(B54))+(B58))+(B59))+(B60))+(B61)</f>
        <v>9415.59</v>
      </c>
      <c r="C62" s="17">
        <f t="shared" si="16"/>
        <v>9536.96</v>
      </c>
      <c r="D62" s="17">
        <f t="shared" si="16"/>
        <v>6410.09</v>
      </c>
      <c r="E62" s="17">
        <f t="shared" si="9"/>
        <v>25362.64</v>
      </c>
    </row>
    <row r="63">
      <c r="A63" s="13" t="s">
        <v>111</v>
      </c>
      <c r="B63" s="15">
        <f>27.93</f>
        <v>27.93</v>
      </c>
      <c r="C63" s="14"/>
      <c r="D63" s="14"/>
      <c r="E63" s="15">
        <f t="shared" si="9"/>
        <v>27.93</v>
      </c>
    </row>
    <row r="64">
      <c r="A64" s="13" t="s">
        <v>112</v>
      </c>
      <c r="B64" s="17">
        <f t="shared" ref="B64:D64" si="17">((B52)+(B62))+(B63)</f>
        <v>9443.52</v>
      </c>
      <c r="C64" s="17">
        <f t="shared" si="17"/>
        <v>9536.96</v>
      </c>
      <c r="D64" s="17">
        <f t="shared" si="17"/>
        <v>6410.09</v>
      </c>
      <c r="E64" s="17">
        <f t="shared" si="9"/>
        <v>25390.57</v>
      </c>
    </row>
    <row r="65">
      <c r="A65" s="13" t="s">
        <v>113</v>
      </c>
      <c r="B65" s="17">
        <f t="shared" ref="B65:D65" si="18">(B51)+(B64)</f>
        <v>9443.52</v>
      </c>
      <c r="C65" s="17">
        <f t="shared" si="18"/>
        <v>9536.96</v>
      </c>
      <c r="D65" s="17">
        <f t="shared" si="18"/>
        <v>6410.09</v>
      </c>
      <c r="E65" s="17">
        <f t="shared" si="9"/>
        <v>25390.57</v>
      </c>
    </row>
    <row r="66">
      <c r="A66" s="44" t="s">
        <v>114</v>
      </c>
      <c r="B66" s="45">
        <f t="shared" ref="B66:D66" si="19">((B49)+(B50))+(B65)</f>
        <v>16342.57</v>
      </c>
      <c r="C66" s="45">
        <f t="shared" si="19"/>
        <v>10645.04</v>
      </c>
      <c r="D66" s="45">
        <f t="shared" si="19"/>
        <v>9236.33</v>
      </c>
      <c r="E66" s="45">
        <f t="shared" si="9"/>
        <v>36223.94</v>
      </c>
    </row>
    <row r="67">
      <c r="A67" s="44" t="s">
        <v>115</v>
      </c>
      <c r="B67" s="45">
        <f t="shared" ref="B67:D67" si="20">(B30)-(B66)</f>
        <v>-15446.03</v>
      </c>
      <c r="C67" s="45">
        <f t="shared" si="20"/>
        <v>109313.44</v>
      </c>
      <c r="D67" s="45">
        <f t="shared" si="20"/>
        <v>-9236.33</v>
      </c>
      <c r="E67" s="45">
        <f t="shared" si="9"/>
        <v>84631.08</v>
      </c>
    </row>
    <row r="68">
      <c r="A68" s="44" t="s">
        <v>4</v>
      </c>
      <c r="B68" s="46">
        <f t="shared" ref="B68:D68" si="21">(B67)+(0)</f>
        <v>-15446.03</v>
      </c>
      <c r="C68" s="45">
        <f t="shared" si="21"/>
        <v>109313.44</v>
      </c>
      <c r="D68" s="46">
        <f t="shared" si="21"/>
        <v>-9236.33</v>
      </c>
      <c r="E68" s="45">
        <f t="shared" si="9"/>
        <v>84631.08</v>
      </c>
    </row>
    <row r="69">
      <c r="A69" s="13"/>
      <c r="B69" s="14"/>
      <c r="C69" s="14"/>
      <c r="D69" s="14"/>
      <c r="E69" s="14"/>
    </row>
    <row r="70"/>
    <row r="71"/>
    <row r="72">
      <c r="A72" s="19" t="s">
        <v>329</v>
      </c>
    </row>
    <row r="73"/>
    <row r="74"/>
    <row r="75"/>
    <row r="76"/>
    <row r="77">
      <c r="A77" s="13"/>
      <c r="B77" s="6"/>
      <c r="C77" s="6"/>
      <c r="D77" s="6"/>
      <c r="E77" s="6"/>
    </row>
    <row r="78">
      <c r="A78" s="13"/>
      <c r="B78" s="15"/>
      <c r="C78" s="14"/>
      <c r="D78" s="14"/>
      <c r="E78" s="15"/>
    </row>
    <row r="79">
      <c r="A79" s="13"/>
      <c r="B79" s="6"/>
      <c r="C79" s="6"/>
      <c r="D79" s="6"/>
      <c r="E79" s="6"/>
    </row>
    <row r="80">
      <c r="A80" s="13"/>
      <c r="B80" s="6"/>
      <c r="C80" s="6"/>
      <c r="D80" s="6"/>
      <c r="E80" s="6"/>
    </row>
    <row r="81">
      <c r="A81" s="13"/>
      <c r="B81" s="6"/>
      <c r="C81" s="6"/>
      <c r="D81" s="6"/>
      <c r="E81" s="6"/>
    </row>
    <row r="82">
      <c r="A82" s="13"/>
      <c r="B82" s="47"/>
      <c r="C82" s="6"/>
      <c r="D82" s="47"/>
      <c r="E82" s="6"/>
    </row>
    <row r="83">
      <c r="A83" s="13"/>
      <c r="B83" s="47"/>
      <c r="C83" s="6"/>
      <c r="D83" s="47"/>
      <c r="E83" s="6"/>
    </row>
    <row r="84">
      <c r="A84" s="13"/>
      <c r="B84" s="14"/>
      <c r="C84" s="14"/>
      <c r="D84" s="14"/>
      <c r="E84" s="14"/>
    </row>
    <row r="85"/>
    <row r="86"/>
    <row r="87">
      <c r="A87" s="19"/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A72:E72"/>
    <mergeCell ref="A87:E87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  <c r="D1" s="39"/>
      <c r="E1" s="5" t="s">
        <v>330</v>
      </c>
    </row>
    <row r="2">
      <c r="A2" s="8" t="s">
        <v>126</v>
      </c>
    </row>
    <row r="3">
      <c r="A3" s="9" t="s">
        <v>331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48">
        <f>165000</f>
        <v>165000</v>
      </c>
      <c r="C10" s="5" t="s">
        <v>128</v>
      </c>
    </row>
    <row r="11">
      <c r="A11" s="13" t="s">
        <v>134</v>
      </c>
      <c r="B11" s="48">
        <f>125000</f>
        <v>125000</v>
      </c>
      <c r="C11" s="5" t="s">
        <v>128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256867.57</f>
        <v>256867.57</v>
      </c>
    </row>
    <row r="16">
      <c r="A16" s="13" t="s">
        <v>140</v>
      </c>
      <c r="B16" s="15">
        <f>168995.95</f>
        <v>168995.95</v>
      </c>
    </row>
    <row r="17">
      <c r="A17" s="13" t="s">
        <v>141</v>
      </c>
      <c r="B17" s="15">
        <f>98244.87</f>
        <v>98244.87</v>
      </c>
      <c r="C17" s="5" t="s">
        <v>128</v>
      </c>
    </row>
    <row r="18">
      <c r="A18" s="13" t="s">
        <v>143</v>
      </c>
      <c r="B18" s="17">
        <f>(((B14)+(B15))+(B16))+(B17)</f>
        <v>524108.39</v>
      </c>
    </row>
    <row r="19">
      <c r="A19" s="44" t="s">
        <v>144</v>
      </c>
      <c r="B19" s="45">
        <f>(B13)+(B18)</f>
        <v>878202.88</v>
      </c>
    </row>
    <row r="20">
      <c r="A20" s="13" t="s">
        <v>145</v>
      </c>
      <c r="B20" s="14"/>
    </row>
    <row r="21">
      <c r="A21" s="13" t="s">
        <v>146</v>
      </c>
      <c r="B21" s="15">
        <f>179241.16</f>
        <v>179241.16</v>
      </c>
    </row>
    <row r="22">
      <c r="A22" s="13" t="s">
        <v>147</v>
      </c>
      <c r="B22" s="17">
        <f>B21</f>
        <v>179241.16</v>
      </c>
    </row>
    <row r="23">
      <c r="A23" s="13" t="s">
        <v>148</v>
      </c>
      <c r="B23" s="14"/>
    </row>
    <row r="24">
      <c r="A24" s="13" t="s">
        <v>149</v>
      </c>
      <c r="B24" s="15">
        <f t="shared" ref="B24:B31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152</v>
      </c>
      <c r="B27" s="15">
        <f t="shared" si="1"/>
        <v>0</v>
      </c>
    </row>
    <row r="28">
      <c r="A28" s="13" t="s">
        <v>153</v>
      </c>
      <c r="B28" s="15">
        <f t="shared" si="1"/>
        <v>0</v>
      </c>
    </row>
    <row r="29">
      <c r="A29" s="13" t="s">
        <v>154</v>
      </c>
      <c r="B29" s="15">
        <f t="shared" si="1"/>
        <v>0</v>
      </c>
    </row>
    <row r="30">
      <c r="A30" s="13" t="s">
        <v>155</v>
      </c>
      <c r="B30" s="15">
        <f t="shared" si="1"/>
        <v>0</v>
      </c>
    </row>
    <row r="31">
      <c r="A31" s="13" t="s">
        <v>156</v>
      </c>
      <c r="B31" s="15">
        <f t="shared" si="1"/>
        <v>0</v>
      </c>
    </row>
    <row r="32">
      <c r="A32" s="13" t="s">
        <v>157</v>
      </c>
      <c r="B32" s="17">
        <f>(((((((B24)+(B25))+(B26))+(B27))+(B28))+(B29))+(B30))+(B31)</f>
        <v>0</v>
      </c>
    </row>
    <row r="33">
      <c r="A33" s="13" t="s">
        <v>158</v>
      </c>
      <c r="B33" s="17">
        <f>((B19)+(B22))+(B32)</f>
        <v>1057444.04</v>
      </c>
    </row>
    <row r="34">
      <c r="A34" s="13" t="s">
        <v>159</v>
      </c>
      <c r="B34" s="14"/>
    </row>
    <row r="35">
      <c r="A35" s="13" t="s">
        <v>160</v>
      </c>
      <c r="B35" s="15">
        <f>162750</f>
        <v>162750</v>
      </c>
    </row>
    <row r="36">
      <c r="A36" s="13" t="s">
        <v>161</v>
      </c>
      <c r="B36" s="15">
        <f>475000</f>
        <v>475000</v>
      </c>
    </row>
    <row r="37">
      <c r="A37" s="13" t="s">
        <v>162</v>
      </c>
      <c r="B37" s="15">
        <f>110000</f>
        <v>110000</v>
      </c>
    </row>
    <row r="38">
      <c r="A38" s="13" t="s">
        <v>163</v>
      </c>
      <c r="B38" s="17">
        <f>((B35)+(B36))+(B37)</f>
        <v>747750</v>
      </c>
    </row>
    <row r="39">
      <c r="A39" s="13" t="s">
        <v>164</v>
      </c>
      <c r="B39" s="14"/>
    </row>
    <row r="40">
      <c r="A40" s="13" t="s">
        <v>165</v>
      </c>
      <c r="B40" s="15">
        <f>0</f>
        <v>0</v>
      </c>
    </row>
    <row r="41">
      <c r="A41" s="13" t="s">
        <v>166</v>
      </c>
      <c r="B41" s="17">
        <f>B40</f>
        <v>0</v>
      </c>
    </row>
    <row r="42">
      <c r="A42" s="13" t="s">
        <v>167</v>
      </c>
      <c r="B42" s="17">
        <f>((B33)+(B38))+(B41)</f>
        <v>1805194.04</v>
      </c>
    </row>
    <row r="43">
      <c r="A43" s="13" t="s">
        <v>168</v>
      </c>
      <c r="B43" s="14"/>
    </row>
    <row r="44">
      <c r="A44" s="13" t="s">
        <v>169</v>
      </c>
      <c r="B44" s="14"/>
    </row>
    <row r="45">
      <c r="A45" s="13" t="s">
        <v>170</v>
      </c>
      <c r="B45" s="14"/>
    </row>
    <row r="46">
      <c r="A46" s="13" t="s">
        <v>171</v>
      </c>
      <c r="B46" s="14"/>
    </row>
    <row r="47">
      <c r="A47" s="13" t="s">
        <v>172</v>
      </c>
      <c r="B47" s="15">
        <f>10652.08</f>
        <v>10652.08</v>
      </c>
    </row>
    <row r="48">
      <c r="A48" s="13" t="s">
        <v>173</v>
      </c>
      <c r="B48" s="17">
        <f>B47</f>
        <v>10652.08</v>
      </c>
    </row>
    <row r="49">
      <c r="A49" s="13" t="s">
        <v>174</v>
      </c>
      <c r="B49" s="14"/>
    </row>
    <row r="50">
      <c r="A50" s="13" t="s">
        <v>175</v>
      </c>
      <c r="B50" s="15">
        <f>0</f>
        <v>0</v>
      </c>
    </row>
    <row r="51">
      <c r="A51" s="13" t="s">
        <v>176</v>
      </c>
      <c r="B51" s="15">
        <f>207.49</f>
        <v>207.49</v>
      </c>
    </row>
    <row r="52">
      <c r="A52" s="13" t="s">
        <v>177</v>
      </c>
      <c r="B52" s="17">
        <f>(B50)+(B51)</f>
        <v>207.49</v>
      </c>
    </row>
    <row r="53">
      <c r="A53" s="13" t="s">
        <v>178</v>
      </c>
      <c r="B53" s="14"/>
    </row>
    <row r="54">
      <c r="A54" s="13" t="s">
        <v>179</v>
      </c>
      <c r="B54" s="15">
        <f t="shared" ref="B54:B56" si="2">0</f>
        <v>0</v>
      </c>
    </row>
    <row r="55">
      <c r="A55" s="13" t="s">
        <v>180</v>
      </c>
      <c r="B55" s="15">
        <f t="shared" si="2"/>
        <v>0</v>
      </c>
    </row>
    <row r="56">
      <c r="A56" s="13" t="s">
        <v>181</v>
      </c>
      <c r="B56" s="15">
        <f t="shared" si="2"/>
        <v>0</v>
      </c>
    </row>
    <row r="57">
      <c r="A57" s="13" t="s">
        <v>182</v>
      </c>
      <c r="B57" s="17">
        <f>((B54)+(B55))+(B56)</f>
        <v>0</v>
      </c>
    </row>
    <row r="58">
      <c r="A58" s="13" t="s">
        <v>183</v>
      </c>
      <c r="B58" s="17">
        <f>((B48)+(B52))+(B57)</f>
        <v>10859.57</v>
      </c>
    </row>
    <row r="59">
      <c r="A59" s="13" t="s">
        <v>184</v>
      </c>
      <c r="B59" s="17">
        <f>B58</f>
        <v>10859.57</v>
      </c>
    </row>
    <row r="60">
      <c r="A60" s="13" t="s">
        <v>185</v>
      </c>
      <c r="B60" s="14"/>
    </row>
    <row r="61">
      <c r="A61" s="13" t="s">
        <v>186</v>
      </c>
      <c r="B61" s="15">
        <f>0</f>
        <v>0</v>
      </c>
    </row>
    <row r="62">
      <c r="A62" s="13" t="s">
        <v>187</v>
      </c>
      <c r="B62" s="15">
        <f>1709703.39</f>
        <v>1709703.39</v>
      </c>
    </row>
    <row r="63">
      <c r="A63" s="13" t="s">
        <v>188</v>
      </c>
      <c r="B63" s="15">
        <f>84631.08</f>
        <v>84631.08</v>
      </c>
    </row>
    <row r="64">
      <c r="A64" s="13" t="s">
        <v>189</v>
      </c>
      <c r="B64" s="17">
        <f>((B61)+(B62))+(B63)</f>
        <v>1794334.47</v>
      </c>
    </row>
    <row r="65">
      <c r="A65" s="44" t="s">
        <v>190</v>
      </c>
      <c r="B65" s="45">
        <f>(B59)+(B64)</f>
        <v>1805194.04</v>
      </c>
    </row>
    <row r="66">
      <c r="A66" s="13"/>
      <c r="B66" s="14"/>
    </row>
    <row r="67"/>
    <row r="68"/>
    <row r="69">
      <c r="A69" s="19" t="s">
        <v>332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127</v>
      </c>
    </row>
    <row r="4">
      <c r="D4" s="21"/>
      <c r="E4" s="5" t="s">
        <v>128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22">
        <f>165000</f>
        <v>165000</v>
      </c>
    </row>
    <row r="11">
      <c r="A11" s="13" t="s">
        <v>134</v>
      </c>
      <c r="B11" s="22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136</v>
      </c>
      <c r="B13" s="15">
        <f>100000</f>
        <v>100000</v>
      </c>
    </row>
    <row r="14">
      <c r="A14" s="13" t="s">
        <v>137</v>
      </c>
      <c r="B14" s="17">
        <f>((((B9)+(B10))+(B11))+(B12))+(B13)</f>
        <v>454094.49</v>
      </c>
    </row>
    <row r="15">
      <c r="A15" s="13" t="s">
        <v>138</v>
      </c>
      <c r="B15" s="14"/>
    </row>
    <row r="16">
      <c r="A16" s="13" t="s">
        <v>139</v>
      </c>
      <c r="B16" s="15">
        <f>247481.33</f>
        <v>247481.33</v>
      </c>
    </row>
    <row r="17">
      <c r="A17" s="13" t="s">
        <v>140</v>
      </c>
      <c r="B17" s="15">
        <f>246591.22</f>
        <v>246591.22</v>
      </c>
    </row>
    <row r="18">
      <c r="A18" s="13" t="s">
        <v>141</v>
      </c>
      <c r="B18" s="15">
        <f>98244.87</f>
        <v>98244.87</v>
      </c>
      <c r="C18" s="5" t="s">
        <v>142</v>
      </c>
    </row>
    <row r="19">
      <c r="A19" s="13" t="s">
        <v>143</v>
      </c>
      <c r="B19" s="17">
        <f>(((B15)+(B16))+(B17))+(B18)</f>
        <v>592317.42</v>
      </c>
    </row>
    <row r="20">
      <c r="A20" s="13" t="s">
        <v>144</v>
      </c>
      <c r="B20" s="17">
        <f>(B14)+(B19)</f>
        <v>1046411.91</v>
      </c>
    </row>
    <row r="21">
      <c r="A21" s="13" t="s">
        <v>145</v>
      </c>
      <c r="B21" s="14"/>
    </row>
    <row r="22">
      <c r="A22" s="13" t="s">
        <v>146</v>
      </c>
      <c r="B22" s="15">
        <f>18517.4</f>
        <v>18517.4</v>
      </c>
    </row>
    <row r="23">
      <c r="A23" s="13" t="s">
        <v>147</v>
      </c>
      <c r="B23" s="17">
        <f>B22</f>
        <v>18517.4</v>
      </c>
    </row>
    <row r="24">
      <c r="A24" s="13" t="s">
        <v>148</v>
      </c>
      <c r="B24" s="14"/>
    </row>
    <row r="25">
      <c r="A25" s="13" t="s">
        <v>149</v>
      </c>
      <c r="B25" s="15">
        <f t="shared" ref="B25:B32" si="1">0</f>
        <v>0</v>
      </c>
    </row>
    <row r="26">
      <c r="A26" s="13" t="s">
        <v>150</v>
      </c>
      <c r="B26" s="15">
        <f t="shared" si="1"/>
        <v>0</v>
      </c>
    </row>
    <row r="27">
      <c r="A27" s="13" t="s">
        <v>151</v>
      </c>
      <c r="B27" s="15">
        <f t="shared" si="1"/>
        <v>0</v>
      </c>
    </row>
    <row r="28">
      <c r="A28" s="13" t="s">
        <v>152</v>
      </c>
      <c r="B28" s="15">
        <f t="shared" si="1"/>
        <v>0</v>
      </c>
    </row>
    <row r="29">
      <c r="A29" s="13" t="s">
        <v>153</v>
      </c>
      <c r="B29" s="15">
        <f t="shared" si="1"/>
        <v>0</v>
      </c>
    </row>
    <row r="30">
      <c r="A30" s="13" t="s">
        <v>154</v>
      </c>
      <c r="B30" s="15">
        <f t="shared" si="1"/>
        <v>0</v>
      </c>
    </row>
    <row r="31">
      <c r="A31" s="13" t="s">
        <v>155</v>
      </c>
      <c r="B31" s="15">
        <f t="shared" si="1"/>
        <v>0</v>
      </c>
    </row>
    <row r="32">
      <c r="A32" s="13" t="s">
        <v>156</v>
      </c>
      <c r="B32" s="15">
        <f t="shared" si="1"/>
        <v>0</v>
      </c>
    </row>
    <row r="33">
      <c r="A33" s="13" t="s">
        <v>157</v>
      </c>
      <c r="B33" s="17">
        <f>(((((((B25)+(B26))+(B27))+(B28))+(B29))+(B30))+(B31))+(B32)</f>
        <v>0</v>
      </c>
    </row>
    <row r="34">
      <c r="A34" s="13" t="s">
        <v>158</v>
      </c>
      <c r="B34" s="17">
        <f>((B20)+(B23))+(B33)</f>
        <v>1064929.31</v>
      </c>
    </row>
    <row r="35">
      <c r="A35" s="13" t="s">
        <v>159</v>
      </c>
      <c r="B35" s="14"/>
    </row>
    <row r="36">
      <c r="A36" s="13" t="s">
        <v>160</v>
      </c>
      <c r="B36" s="15">
        <f>162750</f>
        <v>162750</v>
      </c>
    </row>
    <row r="37">
      <c r="A37" s="13" t="s">
        <v>161</v>
      </c>
      <c r="B37" s="15">
        <f>475000</f>
        <v>475000</v>
      </c>
    </row>
    <row r="38">
      <c r="A38" s="13" t="s">
        <v>162</v>
      </c>
      <c r="B38" s="15">
        <f>110000</f>
        <v>110000</v>
      </c>
    </row>
    <row r="39">
      <c r="A39" s="13" t="s">
        <v>163</v>
      </c>
      <c r="B39" s="17">
        <f>((B36)+(B37))+(B38)</f>
        <v>747750</v>
      </c>
    </row>
    <row r="40">
      <c r="A40" s="13" t="s">
        <v>164</v>
      </c>
      <c r="B40" s="14"/>
    </row>
    <row r="41">
      <c r="A41" s="13" t="s">
        <v>165</v>
      </c>
      <c r="B41" s="15">
        <f>0</f>
        <v>0</v>
      </c>
    </row>
    <row r="42">
      <c r="A42" s="13" t="s">
        <v>166</v>
      </c>
      <c r="B42" s="17">
        <f>B41</f>
        <v>0</v>
      </c>
    </row>
    <row r="43">
      <c r="A43" s="13" t="s">
        <v>167</v>
      </c>
      <c r="B43" s="17">
        <f>((B34)+(B39))+(B42)</f>
        <v>1812679.31</v>
      </c>
    </row>
    <row r="44">
      <c r="A44" s="13" t="s">
        <v>168</v>
      </c>
      <c r="B44" s="14"/>
    </row>
    <row r="45">
      <c r="A45" s="13" t="s">
        <v>169</v>
      </c>
      <c r="B45" s="14"/>
    </row>
    <row r="46">
      <c r="A46" s="13" t="s">
        <v>170</v>
      </c>
      <c r="B46" s="14"/>
    </row>
    <row r="47">
      <c r="A47" s="13" t="s">
        <v>171</v>
      </c>
      <c r="B47" s="14"/>
    </row>
    <row r="48">
      <c r="A48" s="13" t="s">
        <v>172</v>
      </c>
      <c r="B48" s="15">
        <f>0</f>
        <v>0</v>
      </c>
    </row>
    <row r="49">
      <c r="A49" s="13" t="s">
        <v>173</v>
      </c>
      <c r="B49" s="17">
        <f>B48</f>
        <v>0</v>
      </c>
    </row>
    <row r="50">
      <c r="A50" s="13" t="s">
        <v>174</v>
      </c>
      <c r="B50" s="14"/>
    </row>
    <row r="51">
      <c r="A51" s="13" t="s">
        <v>175</v>
      </c>
      <c r="B51" s="15">
        <f>0</f>
        <v>0</v>
      </c>
    </row>
    <row r="52">
      <c r="A52" s="13" t="s">
        <v>176</v>
      </c>
      <c r="B52" s="15">
        <f>185</f>
        <v>185</v>
      </c>
    </row>
    <row r="53">
      <c r="A53" s="13" t="s">
        <v>177</v>
      </c>
      <c r="B53" s="17">
        <f>(B51)+(B52)</f>
        <v>185</v>
      </c>
    </row>
    <row r="54">
      <c r="A54" s="13" t="s">
        <v>178</v>
      </c>
      <c r="B54" s="14"/>
    </row>
    <row r="55">
      <c r="A55" s="13" t="s">
        <v>179</v>
      </c>
      <c r="B55" s="15">
        <f t="shared" ref="B55:B57" si="2">0</f>
        <v>0</v>
      </c>
    </row>
    <row r="56">
      <c r="A56" s="13" t="s">
        <v>180</v>
      </c>
      <c r="B56" s="15">
        <f t="shared" si="2"/>
        <v>0</v>
      </c>
    </row>
    <row r="57">
      <c r="A57" s="13" t="s">
        <v>181</v>
      </c>
      <c r="B57" s="15">
        <f t="shared" si="2"/>
        <v>0</v>
      </c>
    </row>
    <row r="58">
      <c r="A58" s="13" t="s">
        <v>182</v>
      </c>
      <c r="B58" s="17">
        <f>((B55)+(B56))+(B57)</f>
        <v>0</v>
      </c>
    </row>
    <row r="59">
      <c r="A59" s="13" t="s">
        <v>183</v>
      </c>
      <c r="B59" s="17">
        <f>((B49)+(B53))+(B58)</f>
        <v>185</v>
      </c>
    </row>
    <row r="60">
      <c r="A60" s="13" t="s">
        <v>184</v>
      </c>
      <c r="B60" s="17">
        <f>B59</f>
        <v>185</v>
      </c>
    </row>
    <row r="61">
      <c r="A61" s="13" t="s">
        <v>185</v>
      </c>
      <c r="B61" s="14"/>
    </row>
    <row r="62">
      <c r="A62" s="13" t="s">
        <v>186</v>
      </c>
      <c r="B62" s="15">
        <f>0</f>
        <v>0</v>
      </c>
    </row>
    <row r="63">
      <c r="A63" s="13" t="s">
        <v>187</v>
      </c>
      <c r="B63" s="15">
        <f>1698827.95</f>
        <v>1698827.95</v>
      </c>
    </row>
    <row r="64">
      <c r="A64" s="13" t="s">
        <v>188</v>
      </c>
      <c r="B64" s="15">
        <f>113666.36</f>
        <v>113666.36</v>
      </c>
    </row>
    <row r="65">
      <c r="A65" s="13" t="s">
        <v>189</v>
      </c>
      <c r="B65" s="17">
        <f>((B62)+(B63))+(B64)</f>
        <v>1812494.31</v>
      </c>
    </row>
    <row r="66">
      <c r="A66" s="13" t="s">
        <v>190</v>
      </c>
      <c r="B66" s="17">
        <f>(B60)+(B65)</f>
        <v>1812679.31</v>
      </c>
    </row>
    <row r="67">
      <c r="A67" s="13"/>
      <c r="B67" s="14"/>
    </row>
    <row r="68"/>
    <row r="69"/>
    <row r="70">
      <c r="A70" s="19" t="s">
        <v>191</v>
      </c>
    </row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0:B70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298</v>
      </c>
    </row>
    <row r="3">
      <c r="A3" s="9" t="s">
        <v>328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896.54</f>
        <v>896.54</v>
      </c>
    </row>
    <row r="9">
      <c r="A9" s="13" t="s">
        <v>18</v>
      </c>
      <c r="B9" s="17">
        <f>(B7)+(B8)</f>
        <v>896.54</v>
      </c>
    </row>
    <row r="10">
      <c r="A10" s="13" t="s">
        <v>19</v>
      </c>
      <c r="B10" s="14"/>
    </row>
    <row r="11">
      <c r="A11" s="13" t="s">
        <v>20</v>
      </c>
      <c r="B11" s="15">
        <f>0</f>
        <v>0</v>
      </c>
    </row>
    <row r="12">
      <c r="A12" s="13" t="s">
        <v>21</v>
      </c>
      <c r="B12" s="17">
        <f>(B10)+(B11)</f>
        <v>0</v>
      </c>
    </row>
    <row r="13">
      <c r="A13" s="13" t="s">
        <v>22</v>
      </c>
      <c r="B13" s="14"/>
    </row>
    <row r="14">
      <c r="A14" s="13" t="s">
        <v>25</v>
      </c>
      <c r="B14" s="15">
        <f t="shared" ref="B14:B15" si="1">2577.08</f>
        <v>2577.08</v>
      </c>
    </row>
    <row r="15">
      <c r="A15" s="13" t="s">
        <v>26</v>
      </c>
      <c r="B15" s="15">
        <f t="shared" si="1"/>
        <v>2577.08</v>
      </c>
    </row>
    <row r="16">
      <c r="A16" s="13" t="s">
        <v>27</v>
      </c>
      <c r="B16" s="15">
        <f>33266.72</f>
        <v>33266.72</v>
      </c>
    </row>
    <row r="17">
      <c r="A17" s="13" t="s">
        <v>28</v>
      </c>
      <c r="B17" s="15">
        <f>2586.08</f>
        <v>2586.08</v>
      </c>
    </row>
    <row r="18">
      <c r="A18" s="13" t="s">
        <v>29</v>
      </c>
      <c r="B18" s="15">
        <f>2573.85</f>
        <v>2573.85</v>
      </c>
    </row>
    <row r="19">
      <c r="A19" s="13" t="s">
        <v>31</v>
      </c>
      <c r="B19" s="15">
        <f>2576.08</f>
        <v>2576.08</v>
      </c>
    </row>
    <row r="20">
      <c r="A20" s="13" t="s">
        <v>32</v>
      </c>
      <c r="B20" s="15">
        <f>15000</f>
        <v>15000</v>
      </c>
    </row>
    <row r="21">
      <c r="A21" s="13" t="s">
        <v>33</v>
      </c>
      <c r="B21" s="15">
        <f>8157.31</f>
        <v>8157.31</v>
      </c>
    </row>
    <row r="22">
      <c r="A22" s="13" t="s">
        <v>34</v>
      </c>
      <c r="B22" s="15">
        <f t="shared" ref="B22:B23" si="2">9738.23</f>
        <v>9738.23</v>
      </c>
    </row>
    <row r="23">
      <c r="A23" s="13" t="s">
        <v>35</v>
      </c>
      <c r="B23" s="15">
        <f t="shared" si="2"/>
        <v>9738.23</v>
      </c>
    </row>
    <row r="24">
      <c r="A24" s="13" t="s">
        <v>36</v>
      </c>
      <c r="B24" s="15">
        <f>18839.93</f>
        <v>18839.93</v>
      </c>
    </row>
    <row r="25">
      <c r="A25" s="13" t="s">
        <v>37</v>
      </c>
      <c r="B25" s="15">
        <f>4876.41</f>
        <v>4876.41</v>
      </c>
    </row>
    <row r="26">
      <c r="A26" s="13" t="s">
        <v>38</v>
      </c>
      <c r="B26" s="15">
        <f>4874.4</f>
        <v>4874.4</v>
      </c>
    </row>
    <row r="27">
      <c r="A27" s="13" t="s">
        <v>39</v>
      </c>
      <c r="B27" s="15">
        <f>2577.08</f>
        <v>2577.08</v>
      </c>
    </row>
    <row r="28">
      <c r="A28" s="13" t="s">
        <v>40</v>
      </c>
      <c r="B28" s="17">
        <f>((((((((((((((B13)+(B14))+(B15))+(B16))+(B17))+(B18))+(B19))+(B20))+(B21))+(B22))+(B23))+(B24))+(B25))+(B26))+(B27)</f>
        <v>119958.48</v>
      </c>
    </row>
    <row r="29">
      <c r="A29" s="13" t="s">
        <v>2</v>
      </c>
      <c r="B29" s="17">
        <f>((B9)+(B12))+(B28)</f>
        <v>120855.02</v>
      </c>
    </row>
    <row r="30">
      <c r="A30" s="13" t="s">
        <v>50</v>
      </c>
      <c r="B30" s="17">
        <f>(B29)-(0)</f>
        <v>120855.02</v>
      </c>
    </row>
    <row r="31">
      <c r="A31" s="13" t="s">
        <v>51</v>
      </c>
      <c r="B31" s="14"/>
    </row>
    <row r="32">
      <c r="A32" s="13" t="s">
        <v>52</v>
      </c>
      <c r="B32" s="14"/>
    </row>
    <row r="33">
      <c r="A33" s="13" t="s">
        <v>53</v>
      </c>
      <c r="B33" s="14"/>
    </row>
    <row r="34">
      <c r="A34" s="13" t="s">
        <v>54</v>
      </c>
      <c r="B34" s="15">
        <f>3000</f>
        <v>3000</v>
      </c>
    </row>
    <row r="35">
      <c r="A35" s="13" t="s">
        <v>55</v>
      </c>
      <c r="B35" s="15">
        <f>0</f>
        <v>0</v>
      </c>
    </row>
    <row r="36">
      <c r="A36" s="13" t="s">
        <v>56</v>
      </c>
      <c r="B36" s="17">
        <f>((B33)+(B34))+(B35)</f>
        <v>3000</v>
      </c>
    </row>
    <row r="37">
      <c r="A37" s="13" t="s">
        <v>57</v>
      </c>
      <c r="B37" s="15">
        <f>0</f>
        <v>0</v>
      </c>
    </row>
    <row r="38">
      <c r="A38" s="13" t="s">
        <v>60</v>
      </c>
      <c r="B38" s="15">
        <f>181.98</f>
        <v>181.98</v>
      </c>
    </row>
    <row r="39">
      <c r="A39" s="13" t="s">
        <v>61</v>
      </c>
      <c r="B39" s="15">
        <f>3328.32</f>
        <v>3328.32</v>
      </c>
    </row>
    <row r="40">
      <c r="A40" s="13" t="s">
        <v>62</v>
      </c>
      <c r="B40" s="15">
        <f>1337.89</f>
        <v>1337.89</v>
      </c>
    </row>
    <row r="41">
      <c r="A41" s="13" t="s">
        <v>63</v>
      </c>
      <c r="B41" s="15">
        <f>1238.7</f>
        <v>1238.7</v>
      </c>
    </row>
    <row r="42">
      <c r="A42" s="13" t="s">
        <v>66</v>
      </c>
      <c r="B42" s="15">
        <f>474</f>
        <v>474</v>
      </c>
    </row>
    <row r="43">
      <c r="A43" s="13" t="s">
        <v>67</v>
      </c>
      <c r="B43" s="15">
        <f>100</f>
        <v>100</v>
      </c>
    </row>
    <row r="44">
      <c r="A44" s="13" t="s">
        <v>68</v>
      </c>
      <c r="B44" s="15">
        <f>48</f>
        <v>48</v>
      </c>
    </row>
    <row r="45">
      <c r="A45" s="13" t="s">
        <v>69</v>
      </c>
      <c r="B45" s="14"/>
    </row>
    <row r="46">
      <c r="A46" s="13" t="s">
        <v>70</v>
      </c>
      <c r="B46" s="15">
        <f>680.75</f>
        <v>680.75</v>
      </c>
    </row>
    <row r="47">
      <c r="A47" s="13" t="s">
        <v>72</v>
      </c>
      <c r="B47" s="17">
        <f>(B45)+(B46)</f>
        <v>680.75</v>
      </c>
    </row>
    <row r="48">
      <c r="A48" s="13" t="s">
        <v>73</v>
      </c>
      <c r="B48" s="15">
        <f>255</f>
        <v>255</v>
      </c>
    </row>
    <row r="49">
      <c r="A49" s="13" t="s">
        <v>74</v>
      </c>
      <c r="B49" s="17">
        <f>(((((((((((B32)+(B36))+(B37))+(B38))+(B39))+(B40))+(B41))+(B42))+(B43))+(B44))+(B47))+(B48)</f>
        <v>10644.64</v>
      </c>
    </row>
    <row r="50">
      <c r="A50" s="13" t="s">
        <v>75</v>
      </c>
      <c r="B50" s="15">
        <f>188.73</f>
        <v>188.73</v>
      </c>
    </row>
    <row r="51">
      <c r="A51" s="13" t="s">
        <v>76</v>
      </c>
      <c r="B51" s="14"/>
    </row>
    <row r="52">
      <c r="A52" s="13" t="s">
        <v>97</v>
      </c>
      <c r="B52" s="14"/>
    </row>
    <row r="53">
      <c r="A53" s="13" t="s">
        <v>98</v>
      </c>
      <c r="B53" s="14"/>
    </row>
    <row r="54">
      <c r="A54" s="13" t="s">
        <v>99</v>
      </c>
      <c r="B54" s="15">
        <f>19851.33</f>
        <v>19851.33</v>
      </c>
    </row>
    <row r="55">
      <c r="A55" s="13" t="s">
        <v>101</v>
      </c>
      <c r="B55" s="14"/>
    </row>
    <row r="56">
      <c r="A56" s="13" t="s">
        <v>102</v>
      </c>
      <c r="B56" s="15">
        <f>497.45</f>
        <v>497.45</v>
      </c>
    </row>
    <row r="57">
      <c r="A57" s="13" t="s">
        <v>104</v>
      </c>
      <c r="B57" s="15">
        <f>74.52</f>
        <v>74.52</v>
      </c>
    </row>
    <row r="58">
      <c r="A58" s="13" t="s">
        <v>105</v>
      </c>
      <c r="B58" s="17">
        <f>((B55)+(B56))+(B57)</f>
        <v>571.97</v>
      </c>
    </row>
    <row r="59">
      <c r="A59" s="13" t="s">
        <v>106</v>
      </c>
      <c r="B59" s="15">
        <f>55</f>
        <v>55</v>
      </c>
    </row>
    <row r="60">
      <c r="A60" s="13" t="s">
        <v>107</v>
      </c>
      <c r="B60" s="15">
        <f>4378.09</f>
        <v>4378.09</v>
      </c>
    </row>
    <row r="61">
      <c r="A61" s="13" t="s">
        <v>108</v>
      </c>
      <c r="B61" s="15">
        <f>506.25</f>
        <v>506.25</v>
      </c>
    </row>
    <row r="62">
      <c r="A62" s="13" t="s">
        <v>110</v>
      </c>
      <c r="B62" s="17">
        <f>(((((B53)+(B54))+(B58))+(B59))+(B60))+(B61)</f>
        <v>25362.64</v>
      </c>
    </row>
    <row r="63">
      <c r="A63" s="13" t="s">
        <v>111</v>
      </c>
      <c r="B63" s="15">
        <f>27.93</f>
        <v>27.93</v>
      </c>
    </row>
    <row r="64">
      <c r="A64" s="13" t="s">
        <v>112</v>
      </c>
      <c r="B64" s="17">
        <f>((B52)+(B62))+(B63)</f>
        <v>25390.57</v>
      </c>
    </row>
    <row r="65">
      <c r="A65" s="13" t="s">
        <v>113</v>
      </c>
      <c r="B65" s="17">
        <f>(B51)+(B64)</f>
        <v>25390.57</v>
      </c>
    </row>
    <row r="66">
      <c r="A66" s="13" t="s">
        <v>114</v>
      </c>
      <c r="B66" s="17">
        <f>((B49)+(B50))+(B65)</f>
        <v>36223.94</v>
      </c>
    </row>
    <row r="67">
      <c r="A67" s="13" t="s">
        <v>115</v>
      </c>
      <c r="B67" s="17">
        <f>(B30)-(B66)</f>
        <v>84631.08</v>
      </c>
    </row>
    <row r="68">
      <c r="A68" s="13" t="s">
        <v>4</v>
      </c>
      <c r="B68" s="17">
        <f>(B67)+(0)</f>
        <v>84631.08</v>
      </c>
    </row>
    <row r="69">
      <c r="A69" s="13"/>
      <c r="B69" s="14"/>
    </row>
    <row r="70"/>
    <row r="71"/>
    <row r="72">
      <c r="A72" s="19" t="s">
        <v>333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2:B72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3" width="13.5"/>
    <col customWidth="1" min="4" max="4" width="17.38"/>
    <col customWidth="1" min="5" max="7" width="13.5"/>
    <col customWidth="1" min="8" max="26" width="7.63"/>
  </cols>
  <sheetData>
    <row r="1">
      <c r="A1" s="8" t="s">
        <v>6</v>
      </c>
    </row>
    <row r="2">
      <c r="A2" s="8" t="s">
        <v>298</v>
      </c>
    </row>
    <row r="3">
      <c r="A3" s="9" t="s">
        <v>328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17">
        <f t="shared" ref="B9:F9" si="2">(B7)+(B8)</f>
        <v>896.54</v>
      </c>
      <c r="C9" s="17">
        <f t="shared" si="2"/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17">
        <f t="shared" ref="B12:F12" si="3">(B10)+(B11)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17">
        <f t="shared" ref="B28:F28" si="6">((((((((((((((B13)+(B14))+(B15))+(B16))+(B17))+(B18))+(B19))+(B20))+(B21))+(B22))+(B23))+(B24))+(B25))+(B26))+(B27)</f>
        <v>0</v>
      </c>
      <c r="C28" s="17">
        <f t="shared" si="6"/>
        <v>0</v>
      </c>
      <c r="D28" s="17">
        <f t="shared" si="6"/>
        <v>119958.48</v>
      </c>
      <c r="E28" s="17">
        <f t="shared" si="6"/>
        <v>0</v>
      </c>
      <c r="F28" s="17">
        <f t="shared" si="6"/>
        <v>0</v>
      </c>
      <c r="G28" s="17">
        <f t="shared" si="1"/>
        <v>119958.48</v>
      </c>
    </row>
    <row r="29">
      <c r="A29" s="13" t="s">
        <v>2</v>
      </c>
      <c r="B29" s="17">
        <f t="shared" ref="B29:F29" si="7">((B9)+(B12))+(B28)</f>
        <v>896.54</v>
      </c>
      <c r="C29" s="17">
        <f t="shared" si="7"/>
        <v>0</v>
      </c>
      <c r="D29" s="17">
        <f t="shared" si="7"/>
        <v>119958.48</v>
      </c>
      <c r="E29" s="17">
        <f t="shared" si="7"/>
        <v>0</v>
      </c>
      <c r="F29" s="17">
        <f t="shared" si="7"/>
        <v>0</v>
      </c>
      <c r="G29" s="17">
        <f t="shared" si="1"/>
        <v>120855.02</v>
      </c>
    </row>
    <row r="30">
      <c r="A30" s="13" t="s">
        <v>50</v>
      </c>
      <c r="B30" s="17">
        <f t="shared" ref="B30:F30" si="8">(B29)-(0)</f>
        <v>896.54</v>
      </c>
      <c r="C30" s="17">
        <f t="shared" si="8"/>
        <v>0</v>
      </c>
      <c r="D30" s="17">
        <f t="shared" si="8"/>
        <v>119958.48</v>
      </c>
      <c r="E30" s="17">
        <f t="shared" si="8"/>
        <v>0</v>
      </c>
      <c r="F30" s="17">
        <f t="shared" si="8"/>
        <v>0</v>
      </c>
      <c r="G30" s="17">
        <f t="shared" si="1"/>
        <v>120855.02</v>
      </c>
    </row>
    <row r="31">
      <c r="A31" s="13" t="s">
        <v>51</v>
      </c>
      <c r="B31" s="14"/>
      <c r="C31" s="14"/>
      <c r="D31" s="14"/>
      <c r="E31" s="14"/>
      <c r="F31" s="14"/>
      <c r="G31" s="14"/>
    </row>
    <row r="32">
      <c r="A32" s="13" t="s">
        <v>52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53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56</v>
      </c>
      <c r="B36" s="17">
        <f t="shared" ref="B36:F36" si="10">((B33)+(B34))+(B35)</f>
        <v>3000</v>
      </c>
      <c r="C36" s="17">
        <f t="shared" si="10"/>
        <v>0</v>
      </c>
      <c r="D36" s="17">
        <f t="shared" si="10"/>
        <v>0</v>
      </c>
      <c r="E36" s="17">
        <f t="shared" si="10"/>
        <v>0</v>
      </c>
      <c r="F36" s="17">
        <f t="shared" si="10"/>
        <v>0</v>
      </c>
      <c r="G36" s="1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60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61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62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63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66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67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68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69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70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72</v>
      </c>
      <c r="B47" s="17">
        <f t="shared" ref="B47:F47" si="11">(B45)+(B46)</f>
        <v>680.75</v>
      </c>
      <c r="C47" s="17">
        <f t="shared" si="11"/>
        <v>0</v>
      </c>
      <c r="D47" s="17">
        <f t="shared" si="11"/>
        <v>0</v>
      </c>
      <c r="E47" s="17">
        <f t="shared" si="11"/>
        <v>0</v>
      </c>
      <c r="F47" s="17">
        <f t="shared" si="11"/>
        <v>0</v>
      </c>
      <c r="G47" s="17">
        <f t="shared" si="9"/>
        <v>680.75</v>
      </c>
    </row>
    <row r="48">
      <c r="A48" s="13" t="s">
        <v>73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74</v>
      </c>
      <c r="B49" s="17">
        <f t="shared" ref="B49:F49" si="12">(((((((((((B32)+(B36))+(B37))+(B38))+(B39))+(B40))+(B41))+(B42))+(B43))+(B44))+(B47))+(B48)</f>
        <v>10644.64</v>
      </c>
      <c r="C49" s="17">
        <f t="shared" si="12"/>
        <v>0</v>
      </c>
      <c r="D49" s="17">
        <f t="shared" si="12"/>
        <v>0</v>
      </c>
      <c r="E49" s="17">
        <f t="shared" si="12"/>
        <v>0</v>
      </c>
      <c r="F49" s="17">
        <f t="shared" si="12"/>
        <v>0</v>
      </c>
      <c r="G49" s="17">
        <f t="shared" si="9"/>
        <v>10644.64</v>
      </c>
    </row>
    <row r="50">
      <c r="A50" s="13" t="s">
        <v>75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76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97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98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99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101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102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104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105</v>
      </c>
      <c r="B58" s="17">
        <f t="shared" ref="B58:F58" si="13">((B55)+(B56))+(B57)</f>
        <v>0</v>
      </c>
      <c r="C58" s="17">
        <f t="shared" si="13"/>
        <v>0</v>
      </c>
      <c r="D58" s="17">
        <f t="shared" si="13"/>
        <v>0</v>
      </c>
      <c r="E58" s="17">
        <f t="shared" si="13"/>
        <v>571.97</v>
      </c>
      <c r="F58" s="17">
        <f t="shared" si="13"/>
        <v>0</v>
      </c>
      <c r="G58" s="17">
        <f t="shared" si="9"/>
        <v>571.97</v>
      </c>
    </row>
    <row r="59">
      <c r="A59" s="13" t="s">
        <v>106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107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108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110</v>
      </c>
      <c r="B62" s="17">
        <f t="shared" ref="B62:F62" si="14">(((((B53)+(B54))+(B58))+(B59))+(B60))+(B61)</f>
        <v>0</v>
      </c>
      <c r="C62" s="17">
        <f t="shared" si="14"/>
        <v>15812.19</v>
      </c>
      <c r="D62" s="17">
        <f t="shared" si="14"/>
        <v>0</v>
      </c>
      <c r="E62" s="17">
        <f t="shared" si="14"/>
        <v>9550.45</v>
      </c>
      <c r="F62" s="17">
        <f t="shared" si="14"/>
        <v>0</v>
      </c>
      <c r="G62" s="17">
        <f t="shared" si="9"/>
        <v>25362.64</v>
      </c>
    </row>
    <row r="63">
      <c r="A63" s="13" t="s">
        <v>111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112</v>
      </c>
      <c r="B64" s="17">
        <f t="shared" ref="B64:F64" si="15">((B52)+(B62))+(B63)</f>
        <v>0</v>
      </c>
      <c r="C64" s="17">
        <f t="shared" si="15"/>
        <v>15812.19</v>
      </c>
      <c r="D64" s="17">
        <f t="shared" si="15"/>
        <v>0</v>
      </c>
      <c r="E64" s="17">
        <f t="shared" si="15"/>
        <v>9578.38</v>
      </c>
      <c r="F64" s="17">
        <f t="shared" si="15"/>
        <v>0</v>
      </c>
      <c r="G64" s="17">
        <f t="shared" si="9"/>
        <v>25390.57</v>
      </c>
    </row>
    <row r="65">
      <c r="A65" s="13" t="s">
        <v>113</v>
      </c>
      <c r="B65" s="17">
        <f t="shared" ref="B65:F65" si="16">(B51)+(B64)</f>
        <v>0</v>
      </c>
      <c r="C65" s="17">
        <f t="shared" si="16"/>
        <v>15812.19</v>
      </c>
      <c r="D65" s="17">
        <f t="shared" si="16"/>
        <v>0</v>
      </c>
      <c r="E65" s="17">
        <f t="shared" si="16"/>
        <v>9578.38</v>
      </c>
      <c r="F65" s="17">
        <f t="shared" si="16"/>
        <v>0</v>
      </c>
      <c r="G65" s="17">
        <f t="shared" si="9"/>
        <v>25390.57</v>
      </c>
    </row>
    <row r="66">
      <c r="A66" s="13" t="s">
        <v>114</v>
      </c>
      <c r="B66" s="17">
        <f t="shared" ref="B66:F66" si="17">((B49)+(B50))+(B65)</f>
        <v>10833.37</v>
      </c>
      <c r="C66" s="17">
        <f t="shared" si="17"/>
        <v>15812.19</v>
      </c>
      <c r="D66" s="17">
        <f t="shared" si="17"/>
        <v>0</v>
      </c>
      <c r="E66" s="17">
        <f t="shared" si="17"/>
        <v>9578.38</v>
      </c>
      <c r="F66" s="17">
        <f t="shared" si="17"/>
        <v>0</v>
      </c>
      <c r="G66" s="17">
        <f t="shared" si="9"/>
        <v>36223.94</v>
      </c>
    </row>
    <row r="67">
      <c r="A67" s="13" t="s">
        <v>115</v>
      </c>
      <c r="B67" s="17">
        <f t="shared" ref="B67:F67" si="18">(B30)-(B66)</f>
        <v>-9936.83</v>
      </c>
      <c r="C67" s="17">
        <f t="shared" si="18"/>
        <v>-15812.19</v>
      </c>
      <c r="D67" s="17">
        <f t="shared" si="18"/>
        <v>119958.48</v>
      </c>
      <c r="E67" s="17">
        <f t="shared" si="18"/>
        <v>-9578.38</v>
      </c>
      <c r="F67" s="17">
        <f t="shared" si="18"/>
        <v>0</v>
      </c>
      <c r="G67" s="17">
        <f t="shared" si="9"/>
        <v>84631.08</v>
      </c>
    </row>
    <row r="68">
      <c r="A68" s="13" t="s">
        <v>4</v>
      </c>
      <c r="B68" s="20">
        <f t="shared" ref="B68:F68" si="19">(B67)+(0)</f>
        <v>-9936.83</v>
      </c>
      <c r="C68" s="20">
        <f t="shared" si="19"/>
        <v>-15812.19</v>
      </c>
      <c r="D68" s="17">
        <f t="shared" si="19"/>
        <v>119958.48</v>
      </c>
      <c r="E68" s="20">
        <f t="shared" si="19"/>
        <v>-9578.38</v>
      </c>
      <c r="F68" s="17">
        <f t="shared" si="19"/>
        <v>0</v>
      </c>
      <c r="G68" s="1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9" t="s">
        <v>334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72:G72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255</v>
      </c>
    </row>
    <row r="3">
      <c r="A3" s="9" t="s">
        <v>331</v>
      </c>
    </row>
    <row r="5">
      <c r="A5" s="10"/>
      <c r="B5" s="11" t="s">
        <v>230</v>
      </c>
      <c r="C5" s="11" t="s">
        <v>256</v>
      </c>
      <c r="D5" s="11" t="s">
        <v>257</v>
      </c>
      <c r="E5" s="11" t="s">
        <v>258</v>
      </c>
      <c r="F5" s="11" t="s">
        <v>259</v>
      </c>
      <c r="G5" s="11" t="s">
        <v>9</v>
      </c>
    </row>
    <row r="6">
      <c r="A6" s="13" t="s">
        <v>274</v>
      </c>
      <c r="B6" s="14"/>
      <c r="C6" s="14"/>
      <c r="D6" s="14"/>
      <c r="E6" s="14"/>
      <c r="F6" s="14"/>
      <c r="G6" s="15">
        <f t="shared" ref="G6:G11" si="1">((((B6)+(C6))+(D6))+(E6))+(F6)</f>
        <v>0</v>
      </c>
    </row>
    <row r="7">
      <c r="A7" s="13" t="s">
        <v>335</v>
      </c>
      <c r="B7" s="14"/>
      <c r="C7" s="15">
        <f>23197.89</f>
        <v>23197.89</v>
      </c>
      <c r="D7" s="14"/>
      <c r="E7" s="14"/>
      <c r="F7" s="14"/>
      <c r="G7" s="15">
        <f t="shared" si="1"/>
        <v>23197.89</v>
      </c>
    </row>
    <row r="8">
      <c r="A8" s="13" t="s">
        <v>276</v>
      </c>
      <c r="B8" s="17">
        <f t="shared" ref="B8:F8" si="2">(B6)+(B7)</f>
        <v>0</v>
      </c>
      <c r="C8" s="17">
        <f t="shared" si="2"/>
        <v>23197.89</v>
      </c>
      <c r="D8" s="17">
        <f t="shared" si="2"/>
        <v>0</v>
      </c>
      <c r="E8" s="17">
        <f t="shared" si="2"/>
        <v>0</v>
      </c>
      <c r="F8" s="17">
        <f t="shared" si="2"/>
        <v>0</v>
      </c>
      <c r="G8" s="17">
        <f t="shared" si="1"/>
        <v>23197.89</v>
      </c>
    </row>
    <row r="9">
      <c r="A9" s="13" t="s">
        <v>120</v>
      </c>
      <c r="B9" s="15">
        <f>36084.79</f>
        <v>36084.79</v>
      </c>
      <c r="C9" s="14"/>
      <c r="D9" s="14"/>
      <c r="E9" s="14"/>
      <c r="F9" s="14"/>
      <c r="G9" s="15">
        <f t="shared" si="1"/>
        <v>36084.79</v>
      </c>
    </row>
    <row r="10">
      <c r="A10" s="13" t="s">
        <v>121</v>
      </c>
      <c r="B10" s="14"/>
      <c r="C10" s="15">
        <f>119958.48</f>
        <v>119958.48</v>
      </c>
      <c r="D10" s="14"/>
      <c r="E10" s="14"/>
      <c r="F10" s="14"/>
      <c r="G10" s="15">
        <f t="shared" si="1"/>
        <v>119958.48</v>
      </c>
    </row>
    <row r="11">
      <c r="A11" s="13" t="s">
        <v>124</v>
      </c>
      <c r="B11" s="17">
        <f t="shared" ref="B11:F11" si="3">((B8)+(B9))+(B10)</f>
        <v>36084.79</v>
      </c>
      <c r="C11" s="17">
        <f t="shared" si="3"/>
        <v>143156.37</v>
      </c>
      <c r="D11" s="17">
        <f t="shared" si="3"/>
        <v>0</v>
      </c>
      <c r="E11" s="17">
        <f t="shared" si="3"/>
        <v>0</v>
      </c>
      <c r="F11" s="17">
        <f t="shared" si="3"/>
        <v>0</v>
      </c>
      <c r="G11" s="17">
        <f t="shared" si="1"/>
        <v>179241.16</v>
      </c>
    </row>
    <row r="12">
      <c r="A12" s="13"/>
      <c r="B12" s="14"/>
      <c r="C12" s="14"/>
      <c r="D12" s="14"/>
      <c r="E12" s="14"/>
      <c r="F12" s="14"/>
      <c r="G12" s="14"/>
    </row>
    <row r="15">
      <c r="A15" s="19" t="s">
        <v>336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337</v>
      </c>
    </row>
    <row r="3">
      <c r="A3" s="9" t="s">
        <v>331</v>
      </c>
    </row>
    <row r="5">
      <c r="A5" s="10"/>
      <c r="B5" s="11" t="s">
        <v>230</v>
      </c>
      <c r="C5" s="11" t="s">
        <v>256</v>
      </c>
      <c r="D5" s="11" t="s">
        <v>257</v>
      </c>
      <c r="E5" s="11" t="s">
        <v>258</v>
      </c>
      <c r="F5" s="11" t="s">
        <v>259</v>
      </c>
      <c r="G5" s="11" t="s">
        <v>9</v>
      </c>
    </row>
    <row r="6">
      <c r="A6" s="13" t="s">
        <v>228</v>
      </c>
      <c r="B6" s="15">
        <f>6410.09</f>
        <v>6410.09</v>
      </c>
      <c r="C6" s="15">
        <f>1238.7</f>
        <v>1238.7</v>
      </c>
      <c r="D6" s="14"/>
      <c r="E6" s="14"/>
      <c r="F6" s="14"/>
      <c r="G6" s="15">
        <f t="shared" ref="G6:G9" si="1">((((B6)+(C6))+(D6))+(E6))+(F6)</f>
        <v>7648.79</v>
      </c>
    </row>
    <row r="7">
      <c r="A7" s="13" t="s">
        <v>338</v>
      </c>
      <c r="B7" s="15">
        <f>3.29</f>
        <v>3.29</v>
      </c>
      <c r="C7" s="14"/>
      <c r="D7" s="14"/>
      <c r="E7" s="14"/>
      <c r="F7" s="14"/>
      <c r="G7" s="15">
        <f t="shared" si="1"/>
        <v>3.29</v>
      </c>
    </row>
    <row r="8">
      <c r="A8" s="13" t="s">
        <v>339</v>
      </c>
      <c r="B8" s="14"/>
      <c r="C8" s="14"/>
      <c r="D8" s="15">
        <f>3000</f>
        <v>3000</v>
      </c>
      <c r="E8" s="14"/>
      <c r="F8" s="14"/>
      <c r="G8" s="15">
        <f t="shared" si="1"/>
        <v>3000</v>
      </c>
    </row>
    <row r="9">
      <c r="A9" s="13" t="s">
        <v>124</v>
      </c>
      <c r="B9" s="17">
        <f t="shared" ref="B9:F9" si="2">((B6)+(B7))+(B8)</f>
        <v>6413.38</v>
      </c>
      <c r="C9" s="17">
        <f t="shared" si="2"/>
        <v>1238.7</v>
      </c>
      <c r="D9" s="17">
        <f t="shared" si="2"/>
        <v>3000</v>
      </c>
      <c r="E9" s="17">
        <f t="shared" si="2"/>
        <v>0</v>
      </c>
      <c r="F9" s="17">
        <f t="shared" si="2"/>
        <v>0</v>
      </c>
      <c r="G9" s="17">
        <f t="shared" si="1"/>
        <v>10652.08</v>
      </c>
    </row>
    <row r="10">
      <c r="A10" s="13"/>
      <c r="B10" s="14"/>
      <c r="C10" s="14"/>
      <c r="D10" s="14"/>
      <c r="E10" s="14"/>
      <c r="F10" s="14"/>
      <c r="G10" s="14"/>
    </row>
    <row r="13">
      <c r="A13" s="19" t="s">
        <v>340</v>
      </c>
    </row>
    <row r="15">
      <c r="A15" s="19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13:G13"/>
    <mergeCell ref="A15:G15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18.75"/>
    <col customWidth="1" min="3" max="3" width="25.63"/>
    <col customWidth="1" min="4" max="4" width="8.13"/>
    <col customWidth="1" min="5" max="5" width="18.75"/>
    <col customWidth="1" min="6" max="6" width="13.88"/>
    <col customWidth="1" min="7" max="26" width="7.63"/>
  </cols>
  <sheetData>
    <row r="1">
      <c r="A1" s="8" t="s">
        <v>6</v>
      </c>
      <c r="D1" s="8"/>
      <c r="E1" s="8"/>
    </row>
    <row r="2">
      <c r="A2" s="41" t="s">
        <v>341</v>
      </c>
      <c r="D2" s="41"/>
      <c r="E2" s="30" t="s">
        <v>210</v>
      </c>
      <c r="F2" s="31">
        <v>75000.0</v>
      </c>
    </row>
    <row r="3">
      <c r="A3" s="9" t="s">
        <v>342</v>
      </c>
      <c r="D3" s="9"/>
      <c r="E3" s="9"/>
    </row>
    <row r="5">
      <c r="A5" s="10"/>
      <c r="B5" s="11" t="s">
        <v>120</v>
      </c>
      <c r="C5" s="11" t="s">
        <v>124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41</v>
      </c>
      <c r="B7" s="14"/>
      <c r="C7" s="15" t="str">
        <f t="shared" ref="C7:C14" si="1">B7</f>
        <v/>
      </c>
      <c r="D7" s="14"/>
      <c r="E7" s="6"/>
    </row>
    <row r="8">
      <c r="A8" s="13" t="s">
        <v>43</v>
      </c>
      <c r="B8" s="15">
        <f>51772.29</f>
        <v>51772.29</v>
      </c>
      <c r="C8" s="15">
        <f t="shared" si="1"/>
        <v>51772.29</v>
      </c>
      <c r="D8" s="6"/>
      <c r="E8" s="6"/>
    </row>
    <row r="9">
      <c r="A9" s="13" t="s">
        <v>46</v>
      </c>
      <c r="B9" s="15">
        <f>4282.82</f>
        <v>4282.82</v>
      </c>
      <c r="C9" s="15">
        <f t="shared" si="1"/>
        <v>4282.82</v>
      </c>
      <c r="D9" s="14"/>
      <c r="E9" s="14"/>
    </row>
    <row r="10">
      <c r="A10" s="13" t="s">
        <v>47</v>
      </c>
      <c r="B10" s="15">
        <f>1456.53</f>
        <v>1456.53</v>
      </c>
      <c r="C10" s="15">
        <f t="shared" si="1"/>
        <v>1456.53</v>
      </c>
      <c r="D10" s="14"/>
      <c r="E10" s="15"/>
    </row>
    <row r="11">
      <c r="A11" s="13" t="s">
        <v>48</v>
      </c>
      <c r="B11" s="17">
        <f>((B8)+(B9))+(B10)</f>
        <v>57511.64</v>
      </c>
      <c r="C11" s="17">
        <f t="shared" si="1"/>
        <v>57511.64</v>
      </c>
      <c r="D11" s="14"/>
      <c r="E11" s="15"/>
    </row>
    <row r="12">
      <c r="A12" s="13" t="s">
        <v>49</v>
      </c>
      <c r="B12" s="17">
        <f>(B7)+(B11)</f>
        <v>57511.64</v>
      </c>
      <c r="C12" s="17">
        <f t="shared" si="1"/>
        <v>57511.64</v>
      </c>
      <c r="D12" s="14"/>
      <c r="E12" s="15"/>
    </row>
    <row r="13">
      <c r="A13" s="13" t="s">
        <v>2</v>
      </c>
      <c r="B13" s="17">
        <f>B12</f>
        <v>57511.64</v>
      </c>
      <c r="C13" s="17">
        <f t="shared" si="1"/>
        <v>57511.64</v>
      </c>
      <c r="D13" s="15"/>
      <c r="E13" s="15"/>
    </row>
    <row r="14">
      <c r="A14" s="13" t="s">
        <v>50</v>
      </c>
      <c r="B14" s="17">
        <f>(B13)-(0)</f>
        <v>57511.64</v>
      </c>
      <c r="C14" s="17">
        <f t="shared" si="1"/>
        <v>57511.64</v>
      </c>
      <c r="D14" s="6"/>
      <c r="E14" s="6"/>
    </row>
    <row r="15">
      <c r="A15" s="13" t="s">
        <v>51</v>
      </c>
      <c r="B15" s="14"/>
      <c r="C15" s="14"/>
      <c r="D15" s="6"/>
      <c r="E15" s="6"/>
    </row>
    <row r="16">
      <c r="A16" s="13" t="s">
        <v>52</v>
      </c>
      <c r="B16" s="14"/>
      <c r="C16" s="15" t="str">
        <f t="shared" ref="C16:C31" si="2">B16</f>
        <v/>
      </c>
      <c r="D16" s="6"/>
      <c r="E16" s="6"/>
    </row>
    <row r="17">
      <c r="A17" s="13" t="s">
        <v>60</v>
      </c>
      <c r="B17" s="15">
        <f>150</f>
        <v>150</v>
      </c>
      <c r="C17" s="15">
        <f t="shared" si="2"/>
        <v>150</v>
      </c>
      <c r="D17" s="6"/>
      <c r="E17" s="6"/>
    </row>
    <row r="18">
      <c r="A18" s="13" t="s">
        <v>74</v>
      </c>
      <c r="B18" s="17">
        <f>(B16)+(B17)</f>
        <v>150</v>
      </c>
      <c r="C18" s="17">
        <f t="shared" si="2"/>
        <v>150</v>
      </c>
      <c r="D18" s="6"/>
      <c r="E18" s="6"/>
    </row>
    <row r="19">
      <c r="A19" s="13" t="s">
        <v>76</v>
      </c>
      <c r="B19" s="14"/>
      <c r="C19" s="15" t="str">
        <f t="shared" si="2"/>
        <v/>
      </c>
      <c r="D19" s="6"/>
      <c r="E19" s="6"/>
    </row>
    <row r="20">
      <c r="A20" s="13" t="s">
        <v>97</v>
      </c>
      <c r="B20" s="15">
        <f>55</f>
        <v>55</v>
      </c>
      <c r="C20" s="15">
        <f t="shared" si="2"/>
        <v>55</v>
      </c>
      <c r="D20" s="14"/>
      <c r="E20" s="14"/>
    </row>
    <row r="21">
      <c r="A21" s="13" t="s">
        <v>98</v>
      </c>
      <c r="B21" s="14"/>
      <c r="C21" s="15" t="str">
        <f t="shared" si="2"/>
        <v/>
      </c>
    </row>
    <row r="22">
      <c r="A22" s="13" t="s">
        <v>99</v>
      </c>
      <c r="B22" s="15">
        <f>47899.19</f>
        <v>47899.19</v>
      </c>
      <c r="C22" s="15">
        <f t="shared" si="2"/>
        <v>47899.19</v>
      </c>
    </row>
    <row r="23">
      <c r="A23" s="13" t="s">
        <v>109</v>
      </c>
      <c r="B23" s="15">
        <f>214.23</f>
        <v>214.23</v>
      </c>
      <c r="C23" s="15">
        <f t="shared" si="2"/>
        <v>214.23</v>
      </c>
      <c r="D23" s="19"/>
      <c r="E23" s="19"/>
    </row>
    <row r="24">
      <c r="A24" s="13" t="s">
        <v>110</v>
      </c>
      <c r="B24" s="17">
        <f>((B21)+(B22))+(B23)</f>
        <v>48113.42</v>
      </c>
      <c r="C24" s="17">
        <f t="shared" si="2"/>
        <v>48113.42</v>
      </c>
    </row>
    <row r="25">
      <c r="A25" s="13" t="s">
        <v>322</v>
      </c>
      <c r="B25" s="15">
        <f>130</f>
        <v>130</v>
      </c>
      <c r="C25" s="15">
        <f t="shared" si="2"/>
        <v>130</v>
      </c>
    </row>
    <row r="26">
      <c r="A26" s="13" t="s">
        <v>111</v>
      </c>
      <c r="B26" s="15">
        <f>33.47</f>
        <v>33.47</v>
      </c>
      <c r="C26" s="15">
        <f t="shared" si="2"/>
        <v>33.47</v>
      </c>
    </row>
    <row r="27">
      <c r="A27" s="13" t="s">
        <v>112</v>
      </c>
      <c r="B27" s="17">
        <f>(((B20)+(B24))+(B25))+(B26)</f>
        <v>48331.89</v>
      </c>
      <c r="C27" s="17">
        <f t="shared" si="2"/>
        <v>48331.89</v>
      </c>
    </row>
    <row r="28">
      <c r="A28" s="13" t="s">
        <v>113</v>
      </c>
      <c r="B28" s="17">
        <f>(B19)+(B27)</f>
        <v>48331.89</v>
      </c>
      <c r="C28" s="17">
        <f t="shared" si="2"/>
        <v>48331.89</v>
      </c>
    </row>
    <row r="29">
      <c r="A29" s="13" t="s">
        <v>114</v>
      </c>
      <c r="B29" s="17">
        <f>(B18)+(B28)</f>
        <v>48481.89</v>
      </c>
      <c r="C29" s="17">
        <f t="shared" si="2"/>
        <v>48481.89</v>
      </c>
    </row>
    <row r="30">
      <c r="A30" s="13" t="s">
        <v>115</v>
      </c>
      <c r="B30" s="17">
        <f>(B14)-(B29)</f>
        <v>9029.75</v>
      </c>
      <c r="C30" s="17">
        <f t="shared" si="2"/>
        <v>9029.75</v>
      </c>
    </row>
    <row r="31">
      <c r="A31" s="13" t="s">
        <v>4</v>
      </c>
      <c r="B31" s="17">
        <f>(B30)+(0)</f>
        <v>9029.75</v>
      </c>
      <c r="C31" s="17">
        <f t="shared" si="2"/>
        <v>9029.75</v>
      </c>
    </row>
    <row r="32">
      <c r="A32" s="13"/>
      <c r="B32" s="14"/>
      <c r="C32" s="14"/>
    </row>
    <row r="33"/>
    <row r="34"/>
    <row r="35">
      <c r="A35" s="19" t="s">
        <v>343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5:C35"/>
  </mergeCells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18.75"/>
    <col customWidth="1" min="3" max="3" width="23.0"/>
    <col customWidth="1" min="4" max="5" width="18.75"/>
    <col customWidth="1" min="6" max="6" width="13.0"/>
    <col customWidth="1" min="7" max="26" width="7.63"/>
  </cols>
  <sheetData>
    <row r="1">
      <c r="A1" s="8" t="s">
        <v>6</v>
      </c>
      <c r="D1" s="8"/>
      <c r="E1" s="8"/>
    </row>
    <row r="2">
      <c r="A2" s="41" t="s">
        <v>344</v>
      </c>
      <c r="D2" s="41"/>
      <c r="E2" s="30" t="s">
        <v>294</v>
      </c>
      <c r="F2" s="33">
        <v>185468.81</v>
      </c>
    </row>
    <row r="3">
      <c r="A3" s="9" t="s">
        <v>342</v>
      </c>
      <c r="D3" s="9"/>
      <c r="E3" s="30" t="s">
        <v>195</v>
      </c>
      <c r="F3" s="33">
        <v>119745.1</v>
      </c>
    </row>
    <row r="5">
      <c r="A5" s="10"/>
      <c r="B5" s="11" t="s">
        <v>121</v>
      </c>
      <c r="C5" s="11" t="s">
        <v>124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22</v>
      </c>
      <c r="B7" s="14"/>
      <c r="C7" s="15" t="str">
        <f t="shared" ref="C7:C28" si="1">B7</f>
        <v/>
      </c>
      <c r="D7" s="14"/>
      <c r="E7" s="15"/>
    </row>
    <row r="8">
      <c r="A8" s="13" t="s">
        <v>25</v>
      </c>
      <c r="B8" s="15">
        <f t="shared" ref="B8:B9" si="2">8222.91</f>
        <v>8222.91</v>
      </c>
      <c r="C8" s="15">
        <f t="shared" si="1"/>
        <v>8222.91</v>
      </c>
      <c r="D8" s="14"/>
      <c r="E8" s="15"/>
    </row>
    <row r="9">
      <c r="A9" s="13" t="s">
        <v>26</v>
      </c>
      <c r="B9" s="15">
        <f t="shared" si="2"/>
        <v>8222.91</v>
      </c>
      <c r="C9" s="15">
        <f t="shared" si="1"/>
        <v>8222.91</v>
      </c>
      <c r="D9" s="14"/>
      <c r="E9" s="15"/>
    </row>
    <row r="10">
      <c r="A10" s="13" t="s">
        <v>27</v>
      </c>
      <c r="B10" s="15">
        <f>33266.72</f>
        <v>33266.72</v>
      </c>
      <c r="C10" s="15">
        <f t="shared" si="1"/>
        <v>33266.72</v>
      </c>
      <c r="D10" s="14"/>
      <c r="E10" s="15"/>
    </row>
    <row r="11">
      <c r="A11" s="13" t="s">
        <v>28</v>
      </c>
      <c r="B11" s="15">
        <f>8508.67</f>
        <v>8508.67</v>
      </c>
      <c r="C11" s="15">
        <f t="shared" si="1"/>
        <v>8508.67</v>
      </c>
      <c r="D11" s="14"/>
      <c r="E11" s="15"/>
    </row>
    <row r="12">
      <c r="A12" s="13" t="s">
        <v>29</v>
      </c>
      <c r="B12" s="15">
        <f>6214.78</f>
        <v>6214.78</v>
      </c>
      <c r="C12" s="15">
        <f t="shared" si="1"/>
        <v>6214.78</v>
      </c>
      <c r="D12" s="14"/>
      <c r="E12" s="15"/>
    </row>
    <row r="13">
      <c r="A13" s="13" t="s">
        <v>30</v>
      </c>
      <c r="B13" s="15">
        <f>5649.83</f>
        <v>5649.83</v>
      </c>
      <c r="C13" s="15">
        <f t="shared" si="1"/>
        <v>5649.83</v>
      </c>
      <c r="D13" s="14"/>
      <c r="E13" s="15"/>
    </row>
    <row r="14">
      <c r="A14" s="13" t="s">
        <v>31</v>
      </c>
      <c r="B14" s="15">
        <f>5065.87</f>
        <v>5065.87</v>
      </c>
      <c r="C14" s="15">
        <f t="shared" si="1"/>
        <v>5065.87</v>
      </c>
      <c r="D14" s="14"/>
      <c r="E14" s="15"/>
    </row>
    <row r="15">
      <c r="A15" s="13" t="s">
        <v>32</v>
      </c>
      <c r="B15" s="15">
        <f>15000</f>
        <v>15000</v>
      </c>
      <c r="C15" s="15">
        <f t="shared" si="1"/>
        <v>15000</v>
      </c>
      <c r="D15" s="14"/>
      <c r="E15" s="15"/>
    </row>
    <row r="16">
      <c r="A16" s="13" t="s">
        <v>33</v>
      </c>
      <c r="B16" s="15">
        <f>8157.31</f>
        <v>8157.31</v>
      </c>
      <c r="C16" s="15">
        <f t="shared" si="1"/>
        <v>8157.31</v>
      </c>
      <c r="D16" s="14"/>
      <c r="E16" s="15"/>
    </row>
    <row r="17">
      <c r="A17" s="13" t="s">
        <v>34</v>
      </c>
      <c r="B17" s="15">
        <f>30410.69</f>
        <v>30410.69</v>
      </c>
      <c r="C17" s="15">
        <f t="shared" si="1"/>
        <v>30410.69</v>
      </c>
      <c r="D17" s="14"/>
      <c r="E17" s="15"/>
    </row>
    <row r="18">
      <c r="A18" s="13" t="s">
        <v>35</v>
      </c>
      <c r="B18" s="15">
        <f>37356.25</f>
        <v>37356.25</v>
      </c>
      <c r="C18" s="15">
        <f t="shared" si="1"/>
        <v>37356.25</v>
      </c>
      <c r="D18" s="14"/>
      <c r="E18" s="15"/>
    </row>
    <row r="19">
      <c r="A19" s="13" t="s">
        <v>36</v>
      </c>
      <c r="B19" s="15">
        <f>36442.49</f>
        <v>36442.49</v>
      </c>
      <c r="C19" s="15">
        <f t="shared" si="1"/>
        <v>36442.49</v>
      </c>
      <c r="D19" s="14"/>
      <c r="E19" s="15"/>
    </row>
    <row r="20">
      <c r="A20" s="13" t="s">
        <v>345</v>
      </c>
      <c r="B20" s="15">
        <f t="shared" ref="B20:B21" si="3">5629.45</f>
        <v>5629.45</v>
      </c>
      <c r="C20" s="15">
        <f t="shared" si="1"/>
        <v>5629.45</v>
      </c>
      <c r="D20" s="14"/>
      <c r="E20" s="15"/>
    </row>
    <row r="21">
      <c r="A21" s="13" t="s">
        <v>346</v>
      </c>
      <c r="B21" s="15">
        <f t="shared" si="3"/>
        <v>5629.45</v>
      </c>
      <c r="C21" s="15">
        <f t="shared" si="1"/>
        <v>5629.45</v>
      </c>
      <c r="D21" s="14"/>
      <c r="E21" s="15"/>
    </row>
    <row r="22">
      <c r="A22" s="13" t="s">
        <v>347</v>
      </c>
      <c r="B22" s="15">
        <f>22928.15</f>
        <v>22928.15</v>
      </c>
      <c r="C22" s="15">
        <f t="shared" si="1"/>
        <v>22928.15</v>
      </c>
      <c r="D22" s="6"/>
      <c r="E22" s="6"/>
    </row>
    <row r="23">
      <c r="A23" s="13" t="s">
        <v>37</v>
      </c>
      <c r="B23" s="15">
        <f>46283.48</f>
        <v>46283.48</v>
      </c>
      <c r="C23" s="15">
        <f t="shared" si="1"/>
        <v>46283.48</v>
      </c>
      <c r="D23" s="6"/>
      <c r="E23" s="6"/>
    </row>
    <row r="24">
      <c r="A24" s="13" t="s">
        <v>38</v>
      </c>
      <c r="B24" s="15">
        <f>16005.43</f>
        <v>16005.43</v>
      </c>
      <c r="C24" s="15">
        <f t="shared" si="1"/>
        <v>16005.43</v>
      </c>
      <c r="D24" s="6"/>
      <c r="E24" s="6"/>
    </row>
    <row r="25">
      <c r="A25" s="13" t="s">
        <v>39</v>
      </c>
      <c r="B25" s="15">
        <f>6219.51</f>
        <v>6219.51</v>
      </c>
      <c r="C25" s="15">
        <f t="shared" si="1"/>
        <v>6219.51</v>
      </c>
      <c r="D25" s="14"/>
      <c r="E25" s="14"/>
    </row>
    <row r="26">
      <c r="A26" s="13" t="s">
        <v>40</v>
      </c>
      <c r="B26" s="17">
        <f>((((((((((((((((((B7)+(B8))+(B9))+(B10))+(B11))+(B12))+(B13))+(B14))+(B15))+(B16))+(B17))+(B18))+(B19))+(B20))+(B21))+(B22))+(B23))+(B24))+(B25)</f>
        <v>305213.9</v>
      </c>
      <c r="C26" s="17">
        <f t="shared" si="1"/>
        <v>305213.9</v>
      </c>
      <c r="D26" s="14"/>
      <c r="E26" s="6"/>
    </row>
    <row r="27">
      <c r="A27" s="13" t="s">
        <v>2</v>
      </c>
      <c r="B27" s="17">
        <f>B26</f>
        <v>305213.9</v>
      </c>
      <c r="C27" s="17">
        <f t="shared" si="1"/>
        <v>305213.9</v>
      </c>
      <c r="D27" s="6"/>
      <c r="E27" s="6"/>
    </row>
    <row r="28">
      <c r="A28" s="13" t="s">
        <v>50</v>
      </c>
      <c r="B28" s="17">
        <f>(B27)-(0)</f>
        <v>305213.9</v>
      </c>
      <c r="C28" s="17">
        <f t="shared" si="1"/>
        <v>305213.9</v>
      </c>
      <c r="D28" s="6"/>
      <c r="E28" s="6"/>
    </row>
    <row r="29">
      <c r="A29" s="13" t="s">
        <v>51</v>
      </c>
      <c r="B29" s="14"/>
      <c r="C29" s="14"/>
      <c r="D29" s="14"/>
      <c r="E29" s="14"/>
    </row>
    <row r="30">
      <c r="A30" s="13" t="s">
        <v>76</v>
      </c>
      <c r="B30" s="14"/>
      <c r="C30" s="15" t="str">
        <f t="shared" ref="C30:C54" si="4">B30</f>
        <v/>
      </c>
    </row>
    <row r="31">
      <c r="A31" s="13" t="s">
        <v>77</v>
      </c>
      <c r="B31" s="14"/>
      <c r="C31" s="15" t="str">
        <f t="shared" si="4"/>
        <v/>
      </c>
    </row>
    <row r="32">
      <c r="A32" s="13" t="s">
        <v>78</v>
      </c>
      <c r="B32" s="14"/>
      <c r="C32" s="15" t="str">
        <f t="shared" si="4"/>
        <v/>
      </c>
      <c r="D32" s="19"/>
      <c r="E32" s="19"/>
    </row>
    <row r="33">
      <c r="A33" s="13" t="s">
        <v>82</v>
      </c>
      <c r="B33" s="15">
        <f>1241.43</f>
        <v>1241.43</v>
      </c>
      <c r="C33" s="15">
        <f t="shared" si="4"/>
        <v>1241.43</v>
      </c>
    </row>
    <row r="34">
      <c r="A34" s="13" t="s">
        <v>83</v>
      </c>
      <c r="B34" s="15">
        <f>1278.56</f>
        <v>1278.56</v>
      </c>
      <c r="C34" s="15">
        <f t="shared" si="4"/>
        <v>1278.56</v>
      </c>
    </row>
    <row r="35">
      <c r="A35" s="13" t="s">
        <v>84</v>
      </c>
      <c r="B35" s="15">
        <f>25397.17</f>
        <v>25397.17</v>
      </c>
      <c r="C35" s="15">
        <f t="shared" si="4"/>
        <v>25397.17</v>
      </c>
    </row>
    <row r="36">
      <c r="A36" s="13" t="s">
        <v>86</v>
      </c>
      <c r="B36" s="15">
        <f>1787.23</f>
        <v>1787.23</v>
      </c>
      <c r="C36" s="15">
        <f t="shared" si="4"/>
        <v>1787.23</v>
      </c>
    </row>
    <row r="37">
      <c r="A37" s="13" t="s">
        <v>87</v>
      </c>
      <c r="B37" s="15">
        <f>1470.87</f>
        <v>1470.87</v>
      </c>
      <c r="C37" s="15">
        <f t="shared" si="4"/>
        <v>1470.87</v>
      </c>
    </row>
    <row r="38">
      <c r="A38" s="13" t="s">
        <v>317</v>
      </c>
      <c r="B38" s="15">
        <f>3612.66</f>
        <v>3612.66</v>
      </c>
      <c r="C38" s="15">
        <f t="shared" si="4"/>
        <v>3612.66</v>
      </c>
    </row>
    <row r="39">
      <c r="A39" s="13" t="s">
        <v>88</v>
      </c>
      <c r="B39" s="15">
        <f>854.94</f>
        <v>854.94</v>
      </c>
      <c r="C39" s="15">
        <f t="shared" si="4"/>
        <v>854.94</v>
      </c>
    </row>
    <row r="40">
      <c r="A40" s="13" t="s">
        <v>89</v>
      </c>
      <c r="B40" s="15">
        <f>41202.38</f>
        <v>41202.38</v>
      </c>
      <c r="C40" s="15">
        <f t="shared" si="4"/>
        <v>41202.38</v>
      </c>
    </row>
    <row r="41">
      <c r="A41" s="13" t="s">
        <v>90</v>
      </c>
      <c r="B41" s="15">
        <f>18187.15</f>
        <v>18187.15</v>
      </c>
      <c r="C41" s="15">
        <f t="shared" si="4"/>
        <v>18187.15</v>
      </c>
    </row>
    <row r="42">
      <c r="A42" s="13" t="s">
        <v>348</v>
      </c>
      <c r="B42" s="15">
        <f>6733.01</f>
        <v>6733.01</v>
      </c>
      <c r="C42" s="15">
        <f t="shared" si="4"/>
        <v>6733.01</v>
      </c>
    </row>
    <row r="43">
      <c r="A43" s="13" t="s">
        <v>349</v>
      </c>
      <c r="B43" s="15">
        <f>4333.33</f>
        <v>4333.33</v>
      </c>
      <c r="C43" s="15">
        <f t="shared" si="4"/>
        <v>4333.33</v>
      </c>
    </row>
    <row r="44">
      <c r="A44" s="13" t="s">
        <v>350</v>
      </c>
      <c r="B44" s="15">
        <f>11562.54</f>
        <v>11562.54</v>
      </c>
      <c r="C44" s="15">
        <f t="shared" si="4"/>
        <v>11562.54</v>
      </c>
    </row>
    <row r="45">
      <c r="A45" s="13" t="s">
        <v>91</v>
      </c>
      <c r="B45" s="15">
        <f>5295.4</f>
        <v>5295.4</v>
      </c>
      <c r="C45" s="15">
        <f t="shared" si="4"/>
        <v>5295.4</v>
      </c>
    </row>
    <row r="46">
      <c r="A46" s="13" t="s">
        <v>92</v>
      </c>
      <c r="B46" s="15">
        <f>26055.66</f>
        <v>26055.66</v>
      </c>
      <c r="C46" s="15">
        <f t="shared" si="4"/>
        <v>26055.66</v>
      </c>
    </row>
    <row r="47">
      <c r="A47" s="13" t="s">
        <v>93</v>
      </c>
      <c r="B47" s="15">
        <f>1673.63</f>
        <v>1673.63</v>
      </c>
      <c r="C47" s="15">
        <f t="shared" si="4"/>
        <v>1673.63</v>
      </c>
    </row>
    <row r="48">
      <c r="A48" s="13" t="s">
        <v>94</v>
      </c>
      <c r="B48" s="17">
        <f>(((((((((((((((B32)+(B33))+(B34))+(B35))+(B36))+(B37))+(B38))+(B39))+(B40))+(B41))+(B42))+(B43))+(B44))+(B45))+(B46))+(B47)</f>
        <v>150685.96</v>
      </c>
      <c r="C48" s="17">
        <f t="shared" si="4"/>
        <v>150685.96</v>
      </c>
    </row>
    <row r="49">
      <c r="A49" s="13" t="s">
        <v>95</v>
      </c>
      <c r="B49" s="17">
        <f>(B31)+(B48)</f>
        <v>150685.96</v>
      </c>
      <c r="C49" s="17">
        <f t="shared" si="4"/>
        <v>150685.96</v>
      </c>
    </row>
    <row r="50">
      <c r="A50" s="13" t="s">
        <v>96</v>
      </c>
      <c r="B50" s="15">
        <f>5257.5</f>
        <v>5257.5</v>
      </c>
      <c r="C50" s="15">
        <f t="shared" si="4"/>
        <v>5257.5</v>
      </c>
    </row>
    <row r="51">
      <c r="A51" s="13" t="s">
        <v>113</v>
      </c>
      <c r="B51" s="17">
        <f>((B30)+(B49))+(B50)</f>
        <v>155943.46</v>
      </c>
      <c r="C51" s="17">
        <f t="shared" si="4"/>
        <v>155943.46</v>
      </c>
    </row>
    <row r="52">
      <c r="A52" s="13" t="s">
        <v>114</v>
      </c>
      <c r="B52" s="17">
        <f>B51</f>
        <v>155943.46</v>
      </c>
      <c r="C52" s="17">
        <f t="shared" si="4"/>
        <v>155943.46</v>
      </c>
    </row>
    <row r="53">
      <c r="A53" s="13" t="s">
        <v>115</v>
      </c>
      <c r="B53" s="17">
        <f>(B28)-(B52)</f>
        <v>149270.44</v>
      </c>
      <c r="C53" s="17">
        <f t="shared" si="4"/>
        <v>149270.44</v>
      </c>
    </row>
    <row r="54">
      <c r="A54" s="13" t="s">
        <v>4</v>
      </c>
      <c r="B54" s="17">
        <f>(B53)+(0)</f>
        <v>149270.44</v>
      </c>
      <c r="C54" s="17">
        <f t="shared" si="4"/>
        <v>149270.44</v>
      </c>
    </row>
    <row r="55">
      <c r="A55" s="13"/>
      <c r="B55" s="14"/>
      <c r="C55" s="14"/>
    </row>
    <row r="56"/>
    <row r="57"/>
    <row r="58">
      <c r="A58" s="19" t="s">
        <v>351</v>
      </c>
    </row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8:C58"/>
  </mergeCells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8.75"/>
    <col customWidth="1" min="4" max="4" width="22.88"/>
    <col customWidth="1" min="5" max="5" width="21.75"/>
    <col customWidth="1" min="6" max="26" width="7.63"/>
  </cols>
  <sheetData>
    <row r="1">
      <c r="A1" s="8" t="s">
        <v>6</v>
      </c>
      <c r="D1" s="8"/>
      <c r="E1" s="8"/>
    </row>
    <row r="2">
      <c r="A2" s="41" t="s">
        <v>352</v>
      </c>
      <c r="D2" s="41"/>
      <c r="E2" s="41"/>
    </row>
    <row r="3">
      <c r="A3" s="9" t="s">
        <v>353</v>
      </c>
      <c r="D3" s="9"/>
      <c r="E3" s="26" t="s">
        <v>197</v>
      </c>
    </row>
    <row r="4">
      <c r="E4" s="5" t="s">
        <v>354</v>
      </c>
    </row>
    <row r="5">
      <c r="A5" s="10"/>
      <c r="B5" s="11" t="s">
        <v>122</v>
      </c>
      <c r="C5" s="11" t="s">
        <v>124</v>
      </c>
      <c r="D5" s="49"/>
      <c r="E5" s="49"/>
    </row>
    <row r="6">
      <c r="A6" s="13" t="s">
        <v>14</v>
      </c>
      <c r="B6" s="14"/>
      <c r="C6" s="14"/>
      <c r="D6" s="14"/>
      <c r="E6" s="14"/>
    </row>
    <row r="7">
      <c r="A7" s="13" t="s">
        <v>41</v>
      </c>
      <c r="B7" s="14"/>
      <c r="C7" s="15" t="str">
        <f t="shared" ref="C7:C13" si="1">B7</f>
        <v/>
      </c>
      <c r="D7" s="14"/>
      <c r="E7" s="6"/>
    </row>
    <row r="8">
      <c r="A8" s="13" t="s">
        <v>43</v>
      </c>
      <c r="B8" s="15">
        <f>109941.83</f>
        <v>109941.83</v>
      </c>
      <c r="C8" s="15">
        <f t="shared" si="1"/>
        <v>109941.83</v>
      </c>
      <c r="D8" s="6"/>
      <c r="E8" s="6"/>
    </row>
    <row r="9">
      <c r="A9" s="13" t="s">
        <v>44</v>
      </c>
      <c r="B9" s="15">
        <f>46659.21</f>
        <v>46659.21</v>
      </c>
      <c r="C9" s="15">
        <f t="shared" si="1"/>
        <v>46659.21</v>
      </c>
      <c r="D9" s="14"/>
      <c r="E9" s="14"/>
    </row>
    <row r="10">
      <c r="A10" s="13" t="s">
        <v>48</v>
      </c>
      <c r="B10" s="17">
        <f>(B8)+(B9)</f>
        <v>156601.04</v>
      </c>
      <c r="C10" s="17">
        <f t="shared" si="1"/>
        <v>156601.04</v>
      </c>
      <c r="D10" s="14"/>
      <c r="E10" s="15"/>
    </row>
    <row r="11">
      <c r="A11" s="13" t="s">
        <v>49</v>
      </c>
      <c r="B11" s="17">
        <f>(B7)+(B10)</f>
        <v>156601.04</v>
      </c>
      <c r="C11" s="17">
        <f t="shared" si="1"/>
        <v>156601.04</v>
      </c>
      <c r="D11" s="14"/>
      <c r="E11" s="15"/>
    </row>
    <row r="12">
      <c r="A12" s="13" t="s">
        <v>2</v>
      </c>
      <c r="B12" s="17">
        <f>B11</f>
        <v>156601.04</v>
      </c>
      <c r="C12" s="17">
        <f t="shared" si="1"/>
        <v>156601.04</v>
      </c>
      <c r="D12" s="14"/>
      <c r="E12" s="15"/>
    </row>
    <row r="13">
      <c r="A13" s="13" t="s">
        <v>50</v>
      </c>
      <c r="B13" s="17">
        <f>(B12)-(0)</f>
        <v>156601.04</v>
      </c>
      <c r="C13" s="17">
        <f t="shared" si="1"/>
        <v>156601.04</v>
      </c>
      <c r="D13" s="15"/>
      <c r="E13" s="15"/>
    </row>
    <row r="14">
      <c r="A14" s="13" t="s">
        <v>51</v>
      </c>
      <c r="B14" s="14"/>
      <c r="C14" s="14"/>
      <c r="D14" s="14"/>
      <c r="E14" s="15"/>
    </row>
    <row r="15">
      <c r="A15" s="13" t="s">
        <v>76</v>
      </c>
      <c r="B15" s="14"/>
      <c r="C15" s="15" t="str">
        <f t="shared" ref="C15:C36" si="2">B15</f>
        <v/>
      </c>
      <c r="D15" s="14"/>
      <c r="E15" s="15"/>
    </row>
    <row r="16">
      <c r="A16" s="13" t="s">
        <v>97</v>
      </c>
      <c r="B16" s="14"/>
      <c r="C16" s="15" t="str">
        <f t="shared" si="2"/>
        <v/>
      </c>
      <c r="D16" s="14"/>
      <c r="E16" s="15"/>
    </row>
    <row r="17">
      <c r="A17" s="13" t="s">
        <v>98</v>
      </c>
      <c r="B17" s="14"/>
      <c r="C17" s="15" t="str">
        <f t="shared" si="2"/>
        <v/>
      </c>
      <c r="D17" s="6"/>
      <c r="E17" s="6"/>
    </row>
    <row r="18">
      <c r="A18" s="13" t="s">
        <v>99</v>
      </c>
      <c r="B18" s="15">
        <f>79246.52</f>
        <v>79246.52</v>
      </c>
      <c r="C18" s="15">
        <f t="shared" si="2"/>
        <v>79246.52</v>
      </c>
      <c r="D18" s="14"/>
      <c r="E18" s="15"/>
    </row>
    <row r="19">
      <c r="A19" s="13" t="s">
        <v>101</v>
      </c>
      <c r="B19" s="14"/>
      <c r="C19" s="15" t="str">
        <f t="shared" si="2"/>
        <v/>
      </c>
      <c r="D19" s="14"/>
      <c r="E19" s="15"/>
    </row>
    <row r="20">
      <c r="A20" s="13" t="s">
        <v>102</v>
      </c>
      <c r="B20" s="15">
        <f>30006.61</f>
        <v>30006.61</v>
      </c>
      <c r="C20" s="15">
        <f t="shared" si="2"/>
        <v>30006.61</v>
      </c>
      <c r="D20" s="14"/>
      <c r="E20" s="15"/>
    </row>
    <row r="21">
      <c r="A21" s="13" t="s">
        <v>103</v>
      </c>
      <c r="B21" s="15">
        <f>16000</f>
        <v>16000</v>
      </c>
      <c r="C21" s="15">
        <f t="shared" si="2"/>
        <v>16000</v>
      </c>
      <c r="D21" s="6"/>
      <c r="E21" s="6"/>
    </row>
    <row r="22">
      <c r="A22" s="13" t="s">
        <v>104</v>
      </c>
      <c r="B22" s="15">
        <f>753.97</f>
        <v>753.97</v>
      </c>
      <c r="C22" s="15">
        <f t="shared" si="2"/>
        <v>753.97</v>
      </c>
      <c r="D22" s="14"/>
      <c r="E22" s="15"/>
    </row>
    <row r="23">
      <c r="A23" s="13" t="s">
        <v>105</v>
      </c>
      <c r="B23" s="17">
        <f>(((B19)+(B20))+(B21))+(B22)</f>
        <v>46760.58</v>
      </c>
      <c r="C23" s="17">
        <f t="shared" si="2"/>
        <v>46760.58</v>
      </c>
      <c r="D23" s="6"/>
      <c r="E23" s="6"/>
    </row>
    <row r="24">
      <c r="A24" s="13" t="s">
        <v>106</v>
      </c>
      <c r="B24" s="15">
        <f>7415.63</f>
        <v>7415.63</v>
      </c>
      <c r="C24" s="15">
        <f t="shared" si="2"/>
        <v>7415.63</v>
      </c>
      <c r="D24" s="6"/>
      <c r="E24" s="6"/>
    </row>
    <row r="25">
      <c r="A25" s="13" t="s">
        <v>107</v>
      </c>
      <c r="B25" s="15">
        <f>26917.18</f>
        <v>26917.18</v>
      </c>
      <c r="C25" s="15">
        <f t="shared" si="2"/>
        <v>26917.18</v>
      </c>
      <c r="D25" s="6"/>
      <c r="E25" s="6"/>
    </row>
    <row r="26">
      <c r="A26" s="13" t="s">
        <v>108</v>
      </c>
      <c r="B26" s="15">
        <f>5478.75</f>
        <v>5478.75</v>
      </c>
      <c r="C26" s="15">
        <f t="shared" si="2"/>
        <v>5478.75</v>
      </c>
      <c r="D26" s="6"/>
      <c r="E26" s="6"/>
    </row>
    <row r="27">
      <c r="A27" s="13" t="s">
        <v>109</v>
      </c>
      <c r="B27" s="15">
        <f>2007.58</f>
        <v>2007.58</v>
      </c>
      <c r="C27" s="15">
        <f t="shared" si="2"/>
        <v>2007.58</v>
      </c>
      <c r="D27" s="6"/>
      <c r="E27" s="6"/>
    </row>
    <row r="28">
      <c r="A28" s="13" t="s">
        <v>321</v>
      </c>
      <c r="B28" s="15">
        <f>958.76</f>
        <v>958.76</v>
      </c>
      <c r="C28" s="15">
        <f t="shared" si="2"/>
        <v>958.76</v>
      </c>
      <c r="D28" s="14"/>
      <c r="E28" s="14"/>
    </row>
    <row r="29">
      <c r="A29" s="13" t="s">
        <v>110</v>
      </c>
      <c r="B29" s="17">
        <f>(((((((B17)+(B18))+(B23))+(B24))+(B25))+(B26))+(B27))+(B28)</f>
        <v>168785</v>
      </c>
      <c r="C29" s="17">
        <f t="shared" si="2"/>
        <v>168785</v>
      </c>
    </row>
    <row r="30">
      <c r="A30" s="13" t="s">
        <v>322</v>
      </c>
      <c r="B30" s="15">
        <f>590.4</f>
        <v>590.4</v>
      </c>
      <c r="C30" s="15">
        <f t="shared" si="2"/>
        <v>590.4</v>
      </c>
    </row>
    <row r="31">
      <c r="A31" s="13" t="s">
        <v>111</v>
      </c>
      <c r="B31" s="15">
        <f>1169.79</f>
        <v>1169.79</v>
      </c>
      <c r="C31" s="15">
        <f t="shared" si="2"/>
        <v>1169.79</v>
      </c>
      <c r="D31" s="19"/>
      <c r="E31" s="19"/>
    </row>
    <row r="32">
      <c r="A32" s="13" t="s">
        <v>112</v>
      </c>
      <c r="B32" s="17">
        <f>(((B16)+(B29))+(B30))+(B31)</f>
        <v>170545.19</v>
      </c>
      <c r="C32" s="17">
        <f t="shared" si="2"/>
        <v>170545.19</v>
      </c>
    </row>
    <row r="33">
      <c r="A33" s="13" t="s">
        <v>113</v>
      </c>
      <c r="B33" s="17">
        <f>(B15)+(B32)</f>
        <v>170545.19</v>
      </c>
      <c r="C33" s="17">
        <f t="shared" si="2"/>
        <v>170545.19</v>
      </c>
    </row>
    <row r="34">
      <c r="A34" s="13" t="s">
        <v>114</v>
      </c>
      <c r="B34" s="17">
        <f>B33</f>
        <v>170545.19</v>
      </c>
      <c r="C34" s="17">
        <f t="shared" si="2"/>
        <v>170545.19</v>
      </c>
    </row>
    <row r="35">
      <c r="A35" s="13" t="s">
        <v>115</v>
      </c>
      <c r="B35" s="17">
        <f>(B13)-(B34)</f>
        <v>-13944.15</v>
      </c>
      <c r="C35" s="17">
        <f t="shared" si="2"/>
        <v>-13944.15</v>
      </c>
    </row>
    <row r="36">
      <c r="A36" s="13" t="s">
        <v>4</v>
      </c>
      <c r="B36" s="20">
        <f>(B35)+(0)</f>
        <v>-13944.15</v>
      </c>
      <c r="C36" s="20">
        <f t="shared" si="2"/>
        <v>-13944.15</v>
      </c>
      <c r="D36" s="5" t="s">
        <v>355</v>
      </c>
    </row>
    <row r="37">
      <c r="A37" s="13"/>
      <c r="B37" s="14"/>
      <c r="C37" s="14"/>
    </row>
    <row r="38"/>
    <row r="39"/>
    <row r="40">
      <c r="A40" s="19" t="s">
        <v>356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0:C40"/>
  </mergeCells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6" width="15.75"/>
    <col customWidth="1" min="7" max="7" width="13.25"/>
    <col customWidth="1" min="8" max="26" width="7.63"/>
  </cols>
  <sheetData>
    <row r="1">
      <c r="A1" s="8" t="s">
        <v>6</v>
      </c>
    </row>
    <row r="2">
      <c r="A2" s="8" t="s">
        <v>298</v>
      </c>
    </row>
    <row r="3">
      <c r="A3" s="9" t="s">
        <v>328</v>
      </c>
    </row>
    <row r="5">
      <c r="A5" s="10"/>
      <c r="B5" s="11" t="s">
        <v>119</v>
      </c>
      <c r="C5" s="11" t="s">
        <v>120</v>
      </c>
      <c r="D5" s="11" t="s">
        <v>121</v>
      </c>
      <c r="E5" s="11" t="s">
        <v>122</v>
      </c>
      <c r="F5" s="11" t="s">
        <v>123</v>
      </c>
      <c r="G5" s="11" t="s">
        <v>124</v>
      </c>
    </row>
    <row r="6">
      <c r="A6" s="13" t="s">
        <v>14</v>
      </c>
      <c r="B6" s="14"/>
      <c r="C6" s="14"/>
      <c r="D6" s="14"/>
      <c r="E6" s="14"/>
      <c r="F6" s="14"/>
      <c r="G6" s="14"/>
    </row>
    <row r="7">
      <c r="A7" s="13" t="s">
        <v>16</v>
      </c>
      <c r="B7" s="14"/>
      <c r="C7" s="14"/>
      <c r="D7" s="14"/>
      <c r="E7" s="14"/>
      <c r="F7" s="14"/>
      <c r="G7" s="15">
        <f t="shared" ref="G7:G30" si="1">((((B7)+(C7))+(D7))+(E7))+(F7)</f>
        <v>0</v>
      </c>
    </row>
    <row r="8">
      <c r="A8" s="13" t="s">
        <v>17</v>
      </c>
      <c r="B8" s="15">
        <f>896.54</f>
        <v>896.54</v>
      </c>
      <c r="C8" s="14"/>
      <c r="D8" s="14"/>
      <c r="E8" s="14"/>
      <c r="F8" s="14"/>
      <c r="G8" s="15">
        <f t="shared" si="1"/>
        <v>896.54</v>
      </c>
    </row>
    <row r="9">
      <c r="A9" s="13" t="s">
        <v>18</v>
      </c>
      <c r="B9" s="17">
        <f t="shared" ref="B9:F9" si="2">(B7)+(B8)</f>
        <v>896.54</v>
      </c>
      <c r="C9" s="17">
        <f t="shared" si="2"/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1"/>
        <v>896.54</v>
      </c>
    </row>
    <row r="10">
      <c r="A10" s="13" t="s">
        <v>19</v>
      </c>
      <c r="B10" s="14"/>
      <c r="C10" s="14"/>
      <c r="D10" s="14"/>
      <c r="E10" s="14"/>
      <c r="F10" s="14"/>
      <c r="G10" s="15">
        <f t="shared" si="1"/>
        <v>0</v>
      </c>
    </row>
    <row r="11">
      <c r="A11" s="13" t="s">
        <v>20</v>
      </c>
      <c r="B11" s="14"/>
      <c r="C11" s="14"/>
      <c r="D11" s="14"/>
      <c r="E11" s="14"/>
      <c r="F11" s="15">
        <f>0</f>
        <v>0</v>
      </c>
      <c r="G11" s="15">
        <f t="shared" si="1"/>
        <v>0</v>
      </c>
    </row>
    <row r="12">
      <c r="A12" s="13" t="s">
        <v>21</v>
      </c>
      <c r="B12" s="17">
        <f t="shared" ref="B12:F12" si="3">(B10)+(B11)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1"/>
        <v>0</v>
      </c>
    </row>
    <row r="13">
      <c r="A13" s="13" t="s">
        <v>22</v>
      </c>
      <c r="B13" s="14"/>
      <c r="C13" s="14"/>
      <c r="D13" s="14"/>
      <c r="E13" s="14"/>
      <c r="F13" s="14"/>
      <c r="G13" s="15">
        <f t="shared" si="1"/>
        <v>0</v>
      </c>
    </row>
    <row r="14">
      <c r="A14" s="13" t="s">
        <v>25</v>
      </c>
      <c r="B14" s="14"/>
      <c r="C14" s="14"/>
      <c r="D14" s="15">
        <f t="shared" ref="D14:D15" si="4">2577.08</f>
        <v>2577.08</v>
      </c>
      <c r="E14" s="14"/>
      <c r="F14" s="14"/>
      <c r="G14" s="15">
        <f t="shared" si="1"/>
        <v>2577.08</v>
      </c>
    </row>
    <row r="15">
      <c r="A15" s="13" t="s">
        <v>26</v>
      </c>
      <c r="B15" s="14"/>
      <c r="C15" s="14"/>
      <c r="D15" s="15">
        <f t="shared" si="4"/>
        <v>2577.08</v>
      </c>
      <c r="E15" s="14"/>
      <c r="F15" s="14"/>
      <c r="G15" s="15">
        <f t="shared" si="1"/>
        <v>2577.08</v>
      </c>
    </row>
    <row r="16">
      <c r="A16" s="13" t="s">
        <v>27</v>
      </c>
      <c r="B16" s="14"/>
      <c r="C16" s="14"/>
      <c r="D16" s="15">
        <f>33266.72</f>
        <v>33266.72</v>
      </c>
      <c r="E16" s="14"/>
      <c r="F16" s="14"/>
      <c r="G16" s="15">
        <f t="shared" si="1"/>
        <v>33266.72</v>
      </c>
    </row>
    <row r="17">
      <c r="A17" s="13" t="s">
        <v>28</v>
      </c>
      <c r="B17" s="14"/>
      <c r="C17" s="14"/>
      <c r="D17" s="15">
        <f>2586.08</f>
        <v>2586.08</v>
      </c>
      <c r="E17" s="14"/>
      <c r="F17" s="14"/>
      <c r="G17" s="15">
        <f t="shared" si="1"/>
        <v>2586.08</v>
      </c>
    </row>
    <row r="18">
      <c r="A18" s="13" t="s">
        <v>29</v>
      </c>
      <c r="B18" s="14"/>
      <c r="C18" s="14"/>
      <c r="D18" s="15">
        <f>2573.85</f>
        <v>2573.85</v>
      </c>
      <c r="E18" s="14"/>
      <c r="F18" s="14"/>
      <c r="G18" s="15">
        <f t="shared" si="1"/>
        <v>2573.85</v>
      </c>
    </row>
    <row r="19">
      <c r="A19" s="13" t="s">
        <v>31</v>
      </c>
      <c r="B19" s="14"/>
      <c r="C19" s="14"/>
      <c r="D19" s="15">
        <f>2576.08</f>
        <v>2576.08</v>
      </c>
      <c r="E19" s="14"/>
      <c r="F19" s="14"/>
      <c r="G19" s="15">
        <f t="shared" si="1"/>
        <v>2576.08</v>
      </c>
    </row>
    <row r="20">
      <c r="A20" s="13" t="s">
        <v>32</v>
      </c>
      <c r="B20" s="14"/>
      <c r="C20" s="14"/>
      <c r="D20" s="15">
        <f>15000</f>
        <v>15000</v>
      </c>
      <c r="E20" s="14"/>
      <c r="F20" s="14"/>
      <c r="G20" s="15">
        <f t="shared" si="1"/>
        <v>15000</v>
      </c>
    </row>
    <row r="21">
      <c r="A21" s="13" t="s">
        <v>33</v>
      </c>
      <c r="B21" s="14"/>
      <c r="C21" s="14"/>
      <c r="D21" s="15">
        <f>8157.31</f>
        <v>8157.31</v>
      </c>
      <c r="E21" s="14"/>
      <c r="F21" s="14"/>
      <c r="G21" s="15">
        <f t="shared" si="1"/>
        <v>8157.31</v>
      </c>
    </row>
    <row r="22">
      <c r="A22" s="13" t="s">
        <v>34</v>
      </c>
      <c r="B22" s="14"/>
      <c r="C22" s="14"/>
      <c r="D22" s="15">
        <f t="shared" ref="D22:D23" si="5">9738.23</f>
        <v>9738.23</v>
      </c>
      <c r="E22" s="14"/>
      <c r="F22" s="14"/>
      <c r="G22" s="15">
        <f t="shared" si="1"/>
        <v>9738.23</v>
      </c>
    </row>
    <row r="23">
      <c r="A23" s="13" t="s">
        <v>35</v>
      </c>
      <c r="B23" s="14"/>
      <c r="C23" s="14"/>
      <c r="D23" s="15">
        <f t="shared" si="5"/>
        <v>9738.23</v>
      </c>
      <c r="E23" s="14"/>
      <c r="F23" s="14"/>
      <c r="G23" s="15">
        <f t="shared" si="1"/>
        <v>9738.23</v>
      </c>
    </row>
    <row r="24">
      <c r="A24" s="13" t="s">
        <v>36</v>
      </c>
      <c r="B24" s="14"/>
      <c r="C24" s="14"/>
      <c r="D24" s="15">
        <f>18839.93</f>
        <v>18839.93</v>
      </c>
      <c r="E24" s="14"/>
      <c r="F24" s="14"/>
      <c r="G24" s="15">
        <f t="shared" si="1"/>
        <v>18839.93</v>
      </c>
    </row>
    <row r="25">
      <c r="A25" s="13" t="s">
        <v>37</v>
      </c>
      <c r="B25" s="14"/>
      <c r="C25" s="14"/>
      <c r="D25" s="15">
        <f>4876.41</f>
        <v>4876.41</v>
      </c>
      <c r="E25" s="14"/>
      <c r="F25" s="14"/>
      <c r="G25" s="15">
        <f t="shared" si="1"/>
        <v>4876.41</v>
      </c>
    </row>
    <row r="26">
      <c r="A26" s="13" t="s">
        <v>38</v>
      </c>
      <c r="B26" s="14"/>
      <c r="C26" s="14"/>
      <c r="D26" s="15">
        <f>4874.4</f>
        <v>4874.4</v>
      </c>
      <c r="E26" s="14"/>
      <c r="F26" s="14"/>
      <c r="G26" s="15">
        <f t="shared" si="1"/>
        <v>4874.4</v>
      </c>
    </row>
    <row r="27">
      <c r="A27" s="13" t="s">
        <v>39</v>
      </c>
      <c r="B27" s="14"/>
      <c r="C27" s="14"/>
      <c r="D27" s="15">
        <f>2577.08</f>
        <v>2577.08</v>
      </c>
      <c r="E27" s="14"/>
      <c r="F27" s="14"/>
      <c r="G27" s="15">
        <f t="shared" si="1"/>
        <v>2577.08</v>
      </c>
    </row>
    <row r="28">
      <c r="A28" s="13" t="s">
        <v>40</v>
      </c>
      <c r="B28" s="17">
        <f t="shared" ref="B28:F28" si="6">((((((((((((((B13)+(B14))+(B15))+(B16))+(B17))+(B18))+(B19))+(B20))+(B21))+(B22))+(B23))+(B24))+(B25))+(B26))+(B27)</f>
        <v>0</v>
      </c>
      <c r="C28" s="17">
        <f t="shared" si="6"/>
        <v>0</v>
      </c>
      <c r="D28" s="17">
        <f t="shared" si="6"/>
        <v>119958.48</v>
      </c>
      <c r="E28" s="17">
        <f t="shared" si="6"/>
        <v>0</v>
      </c>
      <c r="F28" s="17">
        <f t="shared" si="6"/>
        <v>0</v>
      </c>
      <c r="G28" s="17">
        <f t="shared" si="1"/>
        <v>119958.48</v>
      </c>
    </row>
    <row r="29">
      <c r="A29" s="13" t="s">
        <v>2</v>
      </c>
      <c r="B29" s="17">
        <f t="shared" ref="B29:F29" si="7">((B9)+(B12))+(B28)</f>
        <v>896.54</v>
      </c>
      <c r="C29" s="17">
        <f t="shared" si="7"/>
        <v>0</v>
      </c>
      <c r="D29" s="17">
        <f t="shared" si="7"/>
        <v>119958.48</v>
      </c>
      <c r="E29" s="17">
        <f t="shared" si="7"/>
        <v>0</v>
      </c>
      <c r="F29" s="17">
        <f t="shared" si="7"/>
        <v>0</v>
      </c>
      <c r="G29" s="17">
        <f t="shared" si="1"/>
        <v>120855.02</v>
      </c>
    </row>
    <row r="30">
      <c r="A30" s="13" t="s">
        <v>50</v>
      </c>
      <c r="B30" s="17">
        <f t="shared" ref="B30:F30" si="8">(B29)-(0)</f>
        <v>896.54</v>
      </c>
      <c r="C30" s="17">
        <f t="shared" si="8"/>
        <v>0</v>
      </c>
      <c r="D30" s="17">
        <f t="shared" si="8"/>
        <v>119958.48</v>
      </c>
      <c r="E30" s="17">
        <f t="shared" si="8"/>
        <v>0</v>
      </c>
      <c r="F30" s="17">
        <f t="shared" si="8"/>
        <v>0</v>
      </c>
      <c r="G30" s="17">
        <f t="shared" si="1"/>
        <v>120855.02</v>
      </c>
    </row>
    <row r="31">
      <c r="A31" s="13" t="s">
        <v>51</v>
      </c>
      <c r="B31" s="14"/>
      <c r="C31" s="14"/>
      <c r="D31" s="14"/>
      <c r="E31" s="14"/>
      <c r="F31" s="14"/>
      <c r="G31" s="14"/>
    </row>
    <row r="32">
      <c r="A32" s="13" t="s">
        <v>52</v>
      </c>
      <c r="B32" s="14"/>
      <c r="C32" s="14"/>
      <c r="D32" s="14"/>
      <c r="E32" s="14"/>
      <c r="F32" s="14"/>
      <c r="G32" s="15">
        <f t="shared" ref="G32:G68" si="9">((((B32)+(C32))+(D32))+(E32))+(F32)</f>
        <v>0</v>
      </c>
    </row>
    <row r="33">
      <c r="A33" s="13" t="s">
        <v>53</v>
      </c>
      <c r="B33" s="14"/>
      <c r="C33" s="14"/>
      <c r="D33" s="14"/>
      <c r="E33" s="14"/>
      <c r="F33" s="14"/>
      <c r="G33" s="15">
        <f t="shared" si="9"/>
        <v>0</v>
      </c>
    </row>
    <row r="34">
      <c r="A34" s="13" t="s">
        <v>54</v>
      </c>
      <c r="B34" s="15">
        <f>3000</f>
        <v>3000</v>
      </c>
      <c r="C34" s="14"/>
      <c r="D34" s="14"/>
      <c r="E34" s="14"/>
      <c r="F34" s="14"/>
      <c r="G34" s="15">
        <f t="shared" si="9"/>
        <v>3000</v>
      </c>
    </row>
    <row r="35">
      <c r="A35" s="13" t="s">
        <v>55</v>
      </c>
      <c r="B35" s="15">
        <f>0</f>
        <v>0</v>
      </c>
      <c r="C35" s="14"/>
      <c r="D35" s="14"/>
      <c r="E35" s="14"/>
      <c r="F35" s="14"/>
      <c r="G35" s="15">
        <f t="shared" si="9"/>
        <v>0</v>
      </c>
    </row>
    <row r="36">
      <c r="A36" s="13" t="s">
        <v>56</v>
      </c>
      <c r="B36" s="17">
        <f t="shared" ref="B36:F36" si="10">((B33)+(B34))+(B35)</f>
        <v>3000</v>
      </c>
      <c r="C36" s="17">
        <f t="shared" si="10"/>
        <v>0</v>
      </c>
      <c r="D36" s="17">
        <f t="shared" si="10"/>
        <v>0</v>
      </c>
      <c r="E36" s="17">
        <f t="shared" si="10"/>
        <v>0</v>
      </c>
      <c r="F36" s="17">
        <f t="shared" si="10"/>
        <v>0</v>
      </c>
      <c r="G36" s="17">
        <f t="shared" si="9"/>
        <v>3000</v>
      </c>
    </row>
    <row r="37">
      <c r="A37" s="13" t="s">
        <v>57</v>
      </c>
      <c r="B37" s="15">
        <f>0</f>
        <v>0</v>
      </c>
      <c r="C37" s="14"/>
      <c r="D37" s="14"/>
      <c r="E37" s="14"/>
      <c r="F37" s="14"/>
      <c r="G37" s="15">
        <f t="shared" si="9"/>
        <v>0</v>
      </c>
    </row>
    <row r="38">
      <c r="A38" s="13" t="s">
        <v>60</v>
      </c>
      <c r="B38" s="15">
        <f>181.98</f>
        <v>181.98</v>
      </c>
      <c r="C38" s="14"/>
      <c r="D38" s="14"/>
      <c r="E38" s="14"/>
      <c r="F38" s="14"/>
      <c r="G38" s="15">
        <f t="shared" si="9"/>
        <v>181.98</v>
      </c>
    </row>
    <row r="39">
      <c r="A39" s="13" t="s">
        <v>61</v>
      </c>
      <c r="B39" s="15">
        <f>3328.32</f>
        <v>3328.32</v>
      </c>
      <c r="C39" s="14"/>
      <c r="D39" s="14"/>
      <c r="E39" s="14"/>
      <c r="F39" s="14"/>
      <c r="G39" s="15">
        <f t="shared" si="9"/>
        <v>3328.32</v>
      </c>
    </row>
    <row r="40">
      <c r="A40" s="13" t="s">
        <v>62</v>
      </c>
      <c r="B40" s="15">
        <f>1337.89</f>
        <v>1337.89</v>
      </c>
      <c r="C40" s="14"/>
      <c r="D40" s="14"/>
      <c r="E40" s="14"/>
      <c r="F40" s="14"/>
      <c r="G40" s="15">
        <f t="shared" si="9"/>
        <v>1337.89</v>
      </c>
    </row>
    <row r="41">
      <c r="A41" s="13" t="s">
        <v>63</v>
      </c>
      <c r="B41" s="15">
        <f>1238.7</f>
        <v>1238.7</v>
      </c>
      <c r="C41" s="14"/>
      <c r="D41" s="14"/>
      <c r="E41" s="14"/>
      <c r="F41" s="14"/>
      <c r="G41" s="15">
        <f t="shared" si="9"/>
        <v>1238.7</v>
      </c>
    </row>
    <row r="42">
      <c r="A42" s="13" t="s">
        <v>66</v>
      </c>
      <c r="B42" s="15">
        <f>474</f>
        <v>474</v>
      </c>
      <c r="C42" s="14"/>
      <c r="D42" s="14"/>
      <c r="E42" s="14"/>
      <c r="F42" s="14"/>
      <c r="G42" s="15">
        <f t="shared" si="9"/>
        <v>474</v>
      </c>
    </row>
    <row r="43">
      <c r="A43" s="13" t="s">
        <v>67</v>
      </c>
      <c r="B43" s="15">
        <f>100</f>
        <v>100</v>
      </c>
      <c r="C43" s="14"/>
      <c r="D43" s="14"/>
      <c r="E43" s="14"/>
      <c r="F43" s="14"/>
      <c r="G43" s="15">
        <f t="shared" si="9"/>
        <v>100</v>
      </c>
    </row>
    <row r="44">
      <c r="A44" s="13" t="s">
        <v>68</v>
      </c>
      <c r="B44" s="15">
        <f>48</f>
        <v>48</v>
      </c>
      <c r="C44" s="14"/>
      <c r="D44" s="14"/>
      <c r="E44" s="14"/>
      <c r="F44" s="14"/>
      <c r="G44" s="15">
        <f t="shared" si="9"/>
        <v>48</v>
      </c>
    </row>
    <row r="45">
      <c r="A45" s="13" t="s">
        <v>69</v>
      </c>
      <c r="B45" s="14"/>
      <c r="C45" s="14"/>
      <c r="D45" s="14"/>
      <c r="E45" s="14"/>
      <c r="F45" s="14"/>
      <c r="G45" s="15">
        <f t="shared" si="9"/>
        <v>0</v>
      </c>
    </row>
    <row r="46">
      <c r="A46" s="13" t="s">
        <v>70</v>
      </c>
      <c r="B46" s="15">
        <f>680.75</f>
        <v>680.75</v>
      </c>
      <c r="C46" s="14"/>
      <c r="D46" s="14"/>
      <c r="E46" s="14"/>
      <c r="F46" s="14"/>
      <c r="G46" s="15">
        <f t="shared" si="9"/>
        <v>680.75</v>
      </c>
    </row>
    <row r="47">
      <c r="A47" s="13" t="s">
        <v>72</v>
      </c>
      <c r="B47" s="17">
        <f t="shared" ref="B47:F47" si="11">(B45)+(B46)</f>
        <v>680.75</v>
      </c>
      <c r="C47" s="17">
        <f t="shared" si="11"/>
        <v>0</v>
      </c>
      <c r="D47" s="17">
        <f t="shared" si="11"/>
        <v>0</v>
      </c>
      <c r="E47" s="17">
        <f t="shared" si="11"/>
        <v>0</v>
      </c>
      <c r="F47" s="17">
        <f t="shared" si="11"/>
        <v>0</v>
      </c>
      <c r="G47" s="17">
        <f t="shared" si="9"/>
        <v>680.75</v>
      </c>
    </row>
    <row r="48">
      <c r="A48" s="13" t="s">
        <v>73</v>
      </c>
      <c r="B48" s="15">
        <f>255</f>
        <v>255</v>
      </c>
      <c r="C48" s="14"/>
      <c r="D48" s="14"/>
      <c r="E48" s="14"/>
      <c r="F48" s="14"/>
      <c r="G48" s="15">
        <f t="shared" si="9"/>
        <v>255</v>
      </c>
    </row>
    <row r="49">
      <c r="A49" s="13" t="s">
        <v>74</v>
      </c>
      <c r="B49" s="17">
        <f t="shared" ref="B49:F49" si="12">(((((((((((B32)+(B36))+(B37))+(B38))+(B39))+(B40))+(B41))+(B42))+(B43))+(B44))+(B47))+(B48)</f>
        <v>10644.64</v>
      </c>
      <c r="C49" s="17">
        <f t="shared" si="12"/>
        <v>0</v>
      </c>
      <c r="D49" s="17">
        <f t="shared" si="12"/>
        <v>0</v>
      </c>
      <c r="E49" s="17">
        <f t="shared" si="12"/>
        <v>0</v>
      </c>
      <c r="F49" s="17">
        <f t="shared" si="12"/>
        <v>0</v>
      </c>
      <c r="G49" s="17">
        <f t="shared" si="9"/>
        <v>10644.64</v>
      </c>
    </row>
    <row r="50">
      <c r="A50" s="13" t="s">
        <v>75</v>
      </c>
      <c r="B50" s="15">
        <f>188.73</f>
        <v>188.73</v>
      </c>
      <c r="C50" s="14"/>
      <c r="D50" s="14"/>
      <c r="E50" s="14"/>
      <c r="F50" s="14"/>
      <c r="G50" s="15">
        <f t="shared" si="9"/>
        <v>188.73</v>
      </c>
    </row>
    <row r="51">
      <c r="A51" s="13" t="s">
        <v>76</v>
      </c>
      <c r="B51" s="14"/>
      <c r="C51" s="14"/>
      <c r="D51" s="14"/>
      <c r="E51" s="14"/>
      <c r="F51" s="14"/>
      <c r="G51" s="15">
        <f t="shared" si="9"/>
        <v>0</v>
      </c>
    </row>
    <row r="52">
      <c r="A52" s="13" t="s">
        <v>97</v>
      </c>
      <c r="B52" s="14"/>
      <c r="C52" s="14"/>
      <c r="D52" s="14"/>
      <c r="E52" s="14"/>
      <c r="F52" s="14"/>
      <c r="G52" s="15">
        <f t="shared" si="9"/>
        <v>0</v>
      </c>
    </row>
    <row r="53">
      <c r="A53" s="13" t="s">
        <v>98</v>
      </c>
      <c r="B53" s="14"/>
      <c r="C53" s="14"/>
      <c r="D53" s="14"/>
      <c r="E53" s="14"/>
      <c r="F53" s="14"/>
      <c r="G53" s="15">
        <f t="shared" si="9"/>
        <v>0</v>
      </c>
    </row>
    <row r="54">
      <c r="A54" s="13" t="s">
        <v>99</v>
      </c>
      <c r="B54" s="14"/>
      <c r="C54" s="15">
        <f>15812.19</f>
        <v>15812.19</v>
      </c>
      <c r="D54" s="14"/>
      <c r="E54" s="15">
        <f>4039.14</f>
        <v>4039.14</v>
      </c>
      <c r="F54" s="14"/>
      <c r="G54" s="15">
        <f t="shared" si="9"/>
        <v>19851.33</v>
      </c>
    </row>
    <row r="55">
      <c r="A55" s="13" t="s">
        <v>101</v>
      </c>
      <c r="B55" s="14"/>
      <c r="C55" s="14"/>
      <c r="D55" s="14"/>
      <c r="E55" s="14"/>
      <c r="F55" s="14"/>
      <c r="G55" s="15">
        <f t="shared" si="9"/>
        <v>0</v>
      </c>
    </row>
    <row r="56">
      <c r="A56" s="13" t="s">
        <v>102</v>
      </c>
      <c r="B56" s="14"/>
      <c r="C56" s="14"/>
      <c r="D56" s="14"/>
      <c r="E56" s="15">
        <f>497.45</f>
        <v>497.45</v>
      </c>
      <c r="F56" s="14"/>
      <c r="G56" s="15">
        <f t="shared" si="9"/>
        <v>497.45</v>
      </c>
    </row>
    <row r="57">
      <c r="A57" s="13" t="s">
        <v>104</v>
      </c>
      <c r="B57" s="14"/>
      <c r="C57" s="14"/>
      <c r="D57" s="14"/>
      <c r="E57" s="15">
        <f>74.52</f>
        <v>74.52</v>
      </c>
      <c r="F57" s="14"/>
      <c r="G57" s="15">
        <f t="shared" si="9"/>
        <v>74.52</v>
      </c>
    </row>
    <row r="58">
      <c r="A58" s="13" t="s">
        <v>105</v>
      </c>
      <c r="B58" s="17">
        <f t="shared" ref="B58:F58" si="13">((B55)+(B56))+(B57)</f>
        <v>0</v>
      </c>
      <c r="C58" s="17">
        <f t="shared" si="13"/>
        <v>0</v>
      </c>
      <c r="D58" s="17">
        <f t="shared" si="13"/>
        <v>0</v>
      </c>
      <c r="E58" s="17">
        <f t="shared" si="13"/>
        <v>571.97</v>
      </c>
      <c r="F58" s="17">
        <f t="shared" si="13"/>
        <v>0</v>
      </c>
      <c r="G58" s="17">
        <f t="shared" si="9"/>
        <v>571.97</v>
      </c>
    </row>
    <row r="59">
      <c r="A59" s="13" t="s">
        <v>106</v>
      </c>
      <c r="B59" s="14"/>
      <c r="C59" s="14"/>
      <c r="D59" s="14"/>
      <c r="E59" s="15">
        <f>55</f>
        <v>55</v>
      </c>
      <c r="F59" s="14"/>
      <c r="G59" s="15">
        <f t="shared" si="9"/>
        <v>55</v>
      </c>
    </row>
    <row r="60">
      <c r="A60" s="13" t="s">
        <v>107</v>
      </c>
      <c r="B60" s="14"/>
      <c r="C60" s="14"/>
      <c r="D60" s="14"/>
      <c r="E60" s="15">
        <f>4378.09</f>
        <v>4378.09</v>
      </c>
      <c r="F60" s="14"/>
      <c r="G60" s="15">
        <f t="shared" si="9"/>
        <v>4378.09</v>
      </c>
    </row>
    <row r="61">
      <c r="A61" s="13" t="s">
        <v>108</v>
      </c>
      <c r="B61" s="14"/>
      <c r="C61" s="14"/>
      <c r="D61" s="14"/>
      <c r="E61" s="15">
        <f>506.25</f>
        <v>506.25</v>
      </c>
      <c r="F61" s="14"/>
      <c r="G61" s="15">
        <f t="shared" si="9"/>
        <v>506.25</v>
      </c>
    </row>
    <row r="62">
      <c r="A62" s="13" t="s">
        <v>110</v>
      </c>
      <c r="B62" s="17">
        <f t="shared" ref="B62:F62" si="14">(((((B53)+(B54))+(B58))+(B59))+(B60))+(B61)</f>
        <v>0</v>
      </c>
      <c r="C62" s="17">
        <f t="shared" si="14"/>
        <v>15812.19</v>
      </c>
      <c r="D62" s="17">
        <f t="shared" si="14"/>
        <v>0</v>
      </c>
      <c r="E62" s="17">
        <f t="shared" si="14"/>
        <v>9550.45</v>
      </c>
      <c r="F62" s="17">
        <f t="shared" si="14"/>
        <v>0</v>
      </c>
      <c r="G62" s="17">
        <f t="shared" si="9"/>
        <v>25362.64</v>
      </c>
    </row>
    <row r="63">
      <c r="A63" s="13" t="s">
        <v>111</v>
      </c>
      <c r="B63" s="14"/>
      <c r="C63" s="14"/>
      <c r="D63" s="14"/>
      <c r="E63" s="15">
        <f>27.93</f>
        <v>27.93</v>
      </c>
      <c r="F63" s="14"/>
      <c r="G63" s="15">
        <f t="shared" si="9"/>
        <v>27.93</v>
      </c>
    </row>
    <row r="64">
      <c r="A64" s="13" t="s">
        <v>112</v>
      </c>
      <c r="B64" s="17">
        <f t="shared" ref="B64:F64" si="15">((B52)+(B62))+(B63)</f>
        <v>0</v>
      </c>
      <c r="C64" s="17">
        <f t="shared" si="15"/>
        <v>15812.19</v>
      </c>
      <c r="D64" s="17">
        <f t="shared" si="15"/>
        <v>0</v>
      </c>
      <c r="E64" s="17">
        <f t="shared" si="15"/>
        <v>9578.38</v>
      </c>
      <c r="F64" s="17">
        <f t="shared" si="15"/>
        <v>0</v>
      </c>
      <c r="G64" s="17">
        <f t="shared" si="9"/>
        <v>25390.57</v>
      </c>
    </row>
    <row r="65">
      <c r="A65" s="13" t="s">
        <v>113</v>
      </c>
      <c r="B65" s="17">
        <f t="shared" ref="B65:F65" si="16">(B51)+(B64)</f>
        <v>0</v>
      </c>
      <c r="C65" s="17">
        <f t="shared" si="16"/>
        <v>15812.19</v>
      </c>
      <c r="D65" s="17">
        <f t="shared" si="16"/>
        <v>0</v>
      </c>
      <c r="E65" s="17">
        <f t="shared" si="16"/>
        <v>9578.38</v>
      </c>
      <c r="F65" s="17">
        <f t="shared" si="16"/>
        <v>0</v>
      </c>
      <c r="G65" s="17">
        <f t="shared" si="9"/>
        <v>25390.57</v>
      </c>
    </row>
    <row r="66">
      <c r="A66" s="13" t="s">
        <v>114</v>
      </c>
      <c r="B66" s="17">
        <f t="shared" ref="B66:F66" si="17">((B49)+(B50))+(B65)</f>
        <v>10833.37</v>
      </c>
      <c r="C66" s="17">
        <f t="shared" si="17"/>
        <v>15812.19</v>
      </c>
      <c r="D66" s="17">
        <f t="shared" si="17"/>
        <v>0</v>
      </c>
      <c r="E66" s="17">
        <f t="shared" si="17"/>
        <v>9578.38</v>
      </c>
      <c r="F66" s="17">
        <f t="shared" si="17"/>
        <v>0</v>
      </c>
      <c r="G66" s="17">
        <f t="shared" si="9"/>
        <v>36223.94</v>
      </c>
    </row>
    <row r="67">
      <c r="A67" s="13" t="s">
        <v>115</v>
      </c>
      <c r="B67" s="17">
        <f t="shared" ref="B67:F67" si="18">(B30)-(B66)</f>
        <v>-9936.83</v>
      </c>
      <c r="C67" s="17">
        <f t="shared" si="18"/>
        <v>-15812.19</v>
      </c>
      <c r="D67" s="17">
        <f t="shared" si="18"/>
        <v>119958.48</v>
      </c>
      <c r="E67" s="17">
        <f t="shared" si="18"/>
        <v>-9578.38</v>
      </c>
      <c r="F67" s="17">
        <f t="shared" si="18"/>
        <v>0</v>
      </c>
      <c r="G67" s="17">
        <f t="shared" si="9"/>
        <v>84631.08</v>
      </c>
    </row>
    <row r="68">
      <c r="A68" s="13" t="s">
        <v>4</v>
      </c>
      <c r="B68" s="20">
        <f t="shared" ref="B68:F68" si="19">(B67)+(0)</f>
        <v>-9936.83</v>
      </c>
      <c r="C68" s="20">
        <f t="shared" si="19"/>
        <v>-15812.19</v>
      </c>
      <c r="D68" s="17">
        <f t="shared" si="19"/>
        <v>119958.48</v>
      </c>
      <c r="E68" s="20">
        <f t="shared" si="19"/>
        <v>-9578.38</v>
      </c>
      <c r="F68" s="17">
        <f t="shared" si="19"/>
        <v>0</v>
      </c>
      <c r="G68" s="17">
        <f t="shared" si="9"/>
        <v>84631.08</v>
      </c>
    </row>
    <row r="69">
      <c r="A69" s="13"/>
      <c r="B69" s="14"/>
      <c r="C69" s="14"/>
      <c r="D69" s="14"/>
      <c r="E69" s="14"/>
      <c r="F69" s="14"/>
      <c r="G69" s="14"/>
    </row>
    <row r="70"/>
    <row r="71"/>
    <row r="72">
      <c r="A72" s="19"/>
    </row>
    <row r="73"/>
    <row r="74"/>
    <row r="75">
      <c r="A75" s="13"/>
      <c r="B75" s="14"/>
      <c r="C75" s="15"/>
      <c r="D75" s="14"/>
      <c r="E75" s="14"/>
      <c r="F75" s="14"/>
      <c r="G75" s="15"/>
    </row>
    <row r="76">
      <c r="A76" s="13"/>
      <c r="B76" s="14"/>
      <c r="C76" s="15"/>
      <c r="D76" s="14"/>
      <c r="E76" s="14"/>
      <c r="F76" s="14"/>
      <c r="G76" s="15"/>
    </row>
    <row r="77">
      <c r="A77" s="13"/>
      <c r="B77" s="6"/>
      <c r="C77" s="6"/>
      <c r="D77" s="6"/>
      <c r="E77" s="6"/>
      <c r="F77" s="6"/>
      <c r="G77" s="6"/>
    </row>
    <row r="78">
      <c r="A78" s="13"/>
      <c r="B78" s="14"/>
      <c r="C78" s="15"/>
      <c r="D78" s="14"/>
      <c r="E78" s="14"/>
      <c r="F78" s="14"/>
      <c r="G78" s="15"/>
    </row>
    <row r="79">
      <c r="A79" s="13"/>
      <c r="B79" s="6"/>
      <c r="C79" s="6"/>
      <c r="D79" s="6"/>
      <c r="E79" s="6"/>
      <c r="F79" s="6"/>
      <c r="G79" s="6"/>
    </row>
    <row r="80">
      <c r="A80" s="13"/>
      <c r="B80" s="6"/>
      <c r="C80" s="6"/>
      <c r="D80" s="6"/>
      <c r="E80" s="6"/>
      <c r="F80" s="6"/>
      <c r="G80" s="6"/>
    </row>
    <row r="81">
      <c r="A81" s="13"/>
      <c r="B81" s="6"/>
      <c r="C81" s="6"/>
      <c r="D81" s="6"/>
      <c r="E81" s="6"/>
      <c r="F81" s="6"/>
      <c r="G81" s="6"/>
    </row>
    <row r="82">
      <c r="A82" s="13"/>
      <c r="B82" s="50"/>
      <c r="C82" s="50"/>
      <c r="D82" s="50"/>
      <c r="E82" s="6"/>
      <c r="F82" s="50"/>
      <c r="G82" s="6"/>
    </row>
    <row r="83">
      <c r="A83" s="13"/>
      <c r="B83" s="50"/>
      <c r="C83" s="50"/>
      <c r="D83" s="50"/>
      <c r="E83" s="6"/>
      <c r="F83" s="50"/>
      <c r="G83" s="6"/>
    </row>
    <row r="84">
      <c r="A84" s="13"/>
      <c r="B84" s="14"/>
      <c r="C84" s="14"/>
      <c r="D84" s="14"/>
      <c r="E84" s="14"/>
      <c r="F84" s="14"/>
      <c r="G84" s="14"/>
    </row>
    <row r="85"/>
    <row r="86"/>
    <row r="87">
      <c r="A87" s="19" t="s">
        <v>357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72:G72"/>
    <mergeCell ref="A87:G87"/>
  </mergeCells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298</v>
      </c>
    </row>
    <row r="3">
      <c r="A3" s="9" t="s">
        <v>358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22</v>
      </c>
      <c r="B7" s="14"/>
    </row>
    <row r="8">
      <c r="A8" s="13" t="s">
        <v>25</v>
      </c>
      <c r="B8" s="15">
        <f t="shared" ref="B8:B9" si="1">2577.08</f>
        <v>2577.08</v>
      </c>
    </row>
    <row r="9">
      <c r="A9" s="13" t="s">
        <v>26</v>
      </c>
      <c r="B9" s="15">
        <f t="shared" si="1"/>
        <v>2577.08</v>
      </c>
    </row>
    <row r="10">
      <c r="A10" s="13" t="s">
        <v>27</v>
      </c>
      <c r="B10" s="15">
        <f>33266.72</f>
        <v>33266.72</v>
      </c>
    </row>
    <row r="11">
      <c r="A11" s="13" t="s">
        <v>28</v>
      </c>
      <c r="B11" s="15">
        <f>2586.08</f>
        <v>2586.08</v>
      </c>
    </row>
    <row r="12">
      <c r="A12" s="13" t="s">
        <v>29</v>
      </c>
      <c r="B12" s="15">
        <f>2573.85</f>
        <v>2573.85</v>
      </c>
    </row>
    <row r="13">
      <c r="A13" s="13" t="s">
        <v>31</v>
      </c>
      <c r="B13" s="15">
        <f>2576.08</f>
        <v>2576.08</v>
      </c>
    </row>
    <row r="14">
      <c r="A14" s="13" t="s">
        <v>32</v>
      </c>
      <c r="B14" s="15">
        <f>15000</f>
        <v>15000</v>
      </c>
    </row>
    <row r="15">
      <c r="A15" s="13" t="s">
        <v>33</v>
      </c>
      <c r="B15" s="15">
        <f>8157.31</f>
        <v>8157.31</v>
      </c>
    </row>
    <row r="16">
      <c r="A16" s="13" t="s">
        <v>34</v>
      </c>
      <c r="B16" s="15">
        <f t="shared" ref="B16:B17" si="2">9738.23</f>
        <v>9738.23</v>
      </c>
    </row>
    <row r="17">
      <c r="A17" s="13" t="s">
        <v>35</v>
      </c>
      <c r="B17" s="15">
        <f t="shared" si="2"/>
        <v>9738.23</v>
      </c>
    </row>
    <row r="18">
      <c r="A18" s="13" t="s">
        <v>36</v>
      </c>
      <c r="B18" s="15">
        <f>18839.93</f>
        <v>18839.93</v>
      </c>
    </row>
    <row r="19">
      <c r="A19" s="13" t="s">
        <v>37</v>
      </c>
      <c r="B19" s="15">
        <f>4876.41</f>
        <v>4876.41</v>
      </c>
    </row>
    <row r="20">
      <c r="A20" s="13" t="s">
        <v>38</v>
      </c>
      <c r="B20" s="15">
        <f>4874.4</f>
        <v>4874.4</v>
      </c>
    </row>
    <row r="21">
      <c r="A21" s="13" t="s">
        <v>39</v>
      </c>
      <c r="B21" s="15">
        <f>2577.08</f>
        <v>2577.08</v>
      </c>
    </row>
    <row r="22">
      <c r="A22" s="13" t="s">
        <v>40</v>
      </c>
      <c r="B22" s="17">
        <f>((((((((((((((B7)+(B8))+(B9))+(B10))+(B11))+(B12))+(B13))+(B14))+(B15))+(B16))+(B17))+(B18))+(B19))+(B20))+(B21)</f>
        <v>119958.48</v>
      </c>
    </row>
    <row r="23">
      <c r="A23" s="13" t="s">
        <v>2</v>
      </c>
      <c r="B23" s="17">
        <f>B22</f>
        <v>119958.48</v>
      </c>
    </row>
    <row r="24">
      <c r="A24" s="13" t="s">
        <v>50</v>
      </c>
      <c r="B24" s="17">
        <f>(B23)-(0)</f>
        <v>119958.48</v>
      </c>
    </row>
    <row r="25">
      <c r="A25" s="13" t="s">
        <v>51</v>
      </c>
      <c r="B25" s="14"/>
    </row>
    <row r="26">
      <c r="A26" s="13" t="s">
        <v>52</v>
      </c>
      <c r="B26" s="14"/>
    </row>
    <row r="27">
      <c r="A27" s="13" t="s">
        <v>60</v>
      </c>
      <c r="B27" s="15">
        <f>389.4</f>
        <v>389.4</v>
      </c>
    </row>
    <row r="28">
      <c r="A28" s="13" t="s">
        <v>62</v>
      </c>
      <c r="B28" s="15">
        <f>46.13</f>
        <v>46.13</v>
      </c>
    </row>
    <row r="29">
      <c r="A29" s="13" t="s">
        <v>69</v>
      </c>
      <c r="B29" s="14"/>
    </row>
    <row r="30">
      <c r="A30" s="13" t="s">
        <v>70</v>
      </c>
      <c r="B30" s="15">
        <f>680.75</f>
        <v>680.75</v>
      </c>
    </row>
    <row r="31">
      <c r="A31" s="13" t="s">
        <v>72</v>
      </c>
      <c r="B31" s="17">
        <f>(B29)+(B30)</f>
        <v>680.75</v>
      </c>
    </row>
    <row r="32">
      <c r="A32" s="13" t="s">
        <v>73</v>
      </c>
      <c r="B32" s="15">
        <f>85</f>
        <v>85</v>
      </c>
    </row>
    <row r="33">
      <c r="A33" s="13" t="s">
        <v>74</v>
      </c>
      <c r="B33" s="17">
        <f>((((B26)+(B27))+(B28))+(B31))+(B32)</f>
        <v>1201.28</v>
      </c>
    </row>
    <row r="34">
      <c r="A34" s="13" t="s">
        <v>114</v>
      </c>
      <c r="B34" s="17">
        <f>B33</f>
        <v>1201.28</v>
      </c>
    </row>
    <row r="35">
      <c r="A35" s="13" t="s">
        <v>115</v>
      </c>
      <c r="B35" s="17">
        <f>(B24)-(B34)</f>
        <v>118757.2</v>
      </c>
    </row>
    <row r="36">
      <c r="A36" s="13" t="s">
        <v>4</v>
      </c>
      <c r="B36" s="17">
        <f>(B35)+(0)</f>
        <v>118757.2</v>
      </c>
    </row>
    <row r="37">
      <c r="A37" s="13"/>
      <c r="B37" s="14"/>
    </row>
    <row r="38"/>
    <row r="39"/>
    <row r="40">
      <c r="A40" s="19" t="s">
        <v>359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360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15">
        <f>165000</f>
        <v>165000</v>
      </c>
    </row>
    <row r="11">
      <c r="A11" s="13" t="s">
        <v>134</v>
      </c>
      <c r="B11" s="15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256867.57</f>
        <v>256867.57</v>
      </c>
    </row>
    <row r="16">
      <c r="A16" s="13" t="s">
        <v>140</v>
      </c>
      <c r="B16" s="15">
        <f>157471.43</f>
        <v>157471.43</v>
      </c>
    </row>
    <row r="17">
      <c r="A17" s="13" t="s">
        <v>141</v>
      </c>
      <c r="B17" s="15">
        <f>98244.87</f>
        <v>98244.87</v>
      </c>
    </row>
    <row r="18">
      <c r="A18" s="13" t="s">
        <v>143</v>
      </c>
      <c r="B18" s="17">
        <f>(((B14)+(B15))+(B16))+(B17)</f>
        <v>512583.87</v>
      </c>
    </row>
    <row r="19">
      <c r="A19" s="13" t="s">
        <v>144</v>
      </c>
      <c r="B19" s="17">
        <f>(B13)+(B18)</f>
        <v>866678.36</v>
      </c>
    </row>
    <row r="20">
      <c r="A20" s="13" t="s">
        <v>145</v>
      </c>
      <c r="B20" s="14"/>
    </row>
    <row r="21">
      <c r="A21" s="13" t="s">
        <v>146</v>
      </c>
      <c r="B21" s="15">
        <f>190102.18</f>
        <v>190102.18</v>
      </c>
    </row>
    <row r="22">
      <c r="A22" s="13" t="s">
        <v>147</v>
      </c>
      <c r="B22" s="17">
        <f>B21</f>
        <v>190102.18</v>
      </c>
    </row>
    <row r="23">
      <c r="A23" s="13" t="s">
        <v>148</v>
      </c>
      <c r="B23" s="14"/>
    </row>
    <row r="24">
      <c r="A24" s="13" t="s">
        <v>149</v>
      </c>
      <c r="B24" s="15">
        <f t="shared" ref="B24:B30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7">
        <f>((((((B24)+(B25))+(B26))+(B27))+(B28))+(B29))+(B30)</f>
        <v>0</v>
      </c>
    </row>
    <row r="32">
      <c r="A32" s="13" t="s">
        <v>158</v>
      </c>
      <c r="B32" s="17">
        <f>((B19)+(B22))+(B31)</f>
        <v>1056780.54</v>
      </c>
    </row>
    <row r="33">
      <c r="A33" s="13" t="s">
        <v>159</v>
      </c>
      <c r="B33" s="14"/>
    </row>
    <row r="34">
      <c r="A34" s="13" t="s">
        <v>160</v>
      </c>
      <c r="B34" s="15">
        <f>162750</f>
        <v>162750</v>
      </c>
    </row>
    <row r="35">
      <c r="A35" s="13" t="s">
        <v>161</v>
      </c>
      <c r="B35" s="15">
        <f>475000</f>
        <v>475000</v>
      </c>
    </row>
    <row r="36">
      <c r="A36" s="13" t="s">
        <v>162</v>
      </c>
      <c r="B36" s="15">
        <f>110000</f>
        <v>110000</v>
      </c>
    </row>
    <row r="37">
      <c r="A37" s="13" t="s">
        <v>163</v>
      </c>
      <c r="B37" s="17">
        <f>((B34)+(B35))+(B36)</f>
        <v>747750</v>
      </c>
    </row>
    <row r="38">
      <c r="A38" s="13" t="s">
        <v>164</v>
      </c>
      <c r="B38" s="14"/>
    </row>
    <row r="39">
      <c r="A39" s="13" t="s">
        <v>165</v>
      </c>
      <c r="B39" s="15">
        <f>0</f>
        <v>0</v>
      </c>
    </row>
    <row r="40">
      <c r="A40" s="13" t="s">
        <v>166</v>
      </c>
      <c r="B40" s="17">
        <f>B39</f>
        <v>0</v>
      </c>
    </row>
    <row r="41">
      <c r="A41" s="13" t="s">
        <v>167</v>
      </c>
      <c r="B41" s="17">
        <f>((B32)+(B37))+(B40)</f>
        <v>1804530.54</v>
      </c>
    </row>
    <row r="42">
      <c r="A42" s="13" t="s">
        <v>168</v>
      </c>
      <c r="B42" s="14"/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5">
        <f>3054.83</f>
        <v>3054.83</v>
      </c>
    </row>
    <row r="47">
      <c r="A47" s="13" t="s">
        <v>173</v>
      </c>
      <c r="B47" s="17">
        <f>B46</f>
        <v>3054.83</v>
      </c>
    </row>
    <row r="48">
      <c r="A48" s="13" t="s">
        <v>174</v>
      </c>
      <c r="B48" s="14"/>
    </row>
    <row r="49">
      <c r="A49" s="13" t="s">
        <v>175</v>
      </c>
      <c r="B49" s="15">
        <f>0</f>
        <v>0</v>
      </c>
    </row>
    <row r="50">
      <c r="A50" s="13" t="s">
        <v>176</v>
      </c>
      <c r="B50" s="15">
        <f>1061.45</f>
        <v>1061.45</v>
      </c>
    </row>
    <row r="51">
      <c r="A51" s="13" t="s">
        <v>177</v>
      </c>
      <c r="B51" s="17">
        <f>(B49)+(B50)</f>
        <v>1061.45</v>
      </c>
    </row>
    <row r="52">
      <c r="A52" s="13" t="s">
        <v>178</v>
      </c>
      <c r="B52" s="14"/>
    </row>
    <row r="53">
      <c r="A53" s="13" t="s">
        <v>179</v>
      </c>
      <c r="B53" s="15">
        <f t="shared" ref="B53:B55" si="2">0</f>
        <v>0</v>
      </c>
    </row>
    <row r="54">
      <c r="A54" s="13" t="s">
        <v>180</v>
      </c>
      <c r="B54" s="15">
        <f t="shared" si="2"/>
        <v>0</v>
      </c>
    </row>
    <row r="55">
      <c r="A55" s="13" t="s">
        <v>181</v>
      </c>
      <c r="B55" s="15">
        <f t="shared" si="2"/>
        <v>0</v>
      </c>
    </row>
    <row r="56">
      <c r="A56" s="13" t="s">
        <v>182</v>
      </c>
      <c r="B56" s="17">
        <f>((B53)+(B54))+(B55)</f>
        <v>0</v>
      </c>
    </row>
    <row r="57">
      <c r="A57" s="13" t="s">
        <v>183</v>
      </c>
      <c r="B57" s="17">
        <f>((B47)+(B51))+(B56)</f>
        <v>4116.28</v>
      </c>
    </row>
    <row r="58">
      <c r="A58" s="13" t="s">
        <v>184</v>
      </c>
      <c r="B58" s="17">
        <f>B57</f>
        <v>4116.28</v>
      </c>
    </row>
    <row r="59">
      <c r="A59" s="13" t="s">
        <v>185</v>
      </c>
      <c r="B59" s="14"/>
    </row>
    <row r="60">
      <c r="A60" s="13" t="s">
        <v>186</v>
      </c>
      <c r="B60" s="15">
        <f>0</f>
        <v>0</v>
      </c>
    </row>
    <row r="61">
      <c r="A61" s="13" t="s">
        <v>187</v>
      </c>
      <c r="B61" s="15">
        <f>1733965.37</f>
        <v>1733965.37</v>
      </c>
    </row>
    <row r="62">
      <c r="A62" s="13" t="s">
        <v>188</v>
      </c>
      <c r="B62" s="15">
        <f>66448.89</f>
        <v>66448.89</v>
      </c>
    </row>
    <row r="63">
      <c r="A63" s="13" t="s">
        <v>189</v>
      </c>
      <c r="B63" s="17">
        <f>((B60)+(B61))+(B62)</f>
        <v>1800414.26</v>
      </c>
    </row>
    <row r="64">
      <c r="A64" s="13" t="s">
        <v>190</v>
      </c>
      <c r="B64" s="17">
        <f>(B58)+(B63)</f>
        <v>1804530.54</v>
      </c>
    </row>
    <row r="65">
      <c r="A65" s="13"/>
      <c r="B65" s="14"/>
    </row>
    <row r="66"/>
    <row r="67"/>
    <row r="68">
      <c r="A68" s="19" t="s">
        <v>361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12.63"/>
    <col customWidth="1" min="6" max="26" width="7.63"/>
  </cols>
  <sheetData>
    <row r="1">
      <c r="A1" s="8" t="s">
        <v>6</v>
      </c>
    </row>
    <row r="2">
      <c r="A2" s="8" t="s">
        <v>117</v>
      </c>
      <c r="E2" s="23" t="s">
        <v>192</v>
      </c>
    </row>
    <row r="3">
      <c r="A3" s="9" t="s">
        <v>8</v>
      </c>
      <c r="E3" s="24">
        <v>99995.0</v>
      </c>
    </row>
    <row r="5">
      <c r="A5" s="10"/>
      <c r="B5" s="11" t="s">
        <v>118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15</v>
      </c>
      <c r="B7" s="15">
        <f>49990</f>
        <v>49990</v>
      </c>
      <c r="C7" s="15">
        <f t="shared" ref="C7:C9" si="1">B7</f>
        <v>49990</v>
      </c>
    </row>
    <row r="8">
      <c r="A8" s="13" t="s">
        <v>2</v>
      </c>
      <c r="B8" s="17">
        <f>B7</f>
        <v>49990</v>
      </c>
      <c r="C8" s="17">
        <f t="shared" si="1"/>
        <v>49990</v>
      </c>
    </row>
    <row r="9">
      <c r="A9" s="13" t="s">
        <v>50</v>
      </c>
      <c r="B9" s="17">
        <f>(B8)-(0)</f>
        <v>49990</v>
      </c>
      <c r="C9" s="17">
        <f t="shared" si="1"/>
        <v>49990</v>
      </c>
    </row>
    <row r="10">
      <c r="A10" s="13" t="s">
        <v>51</v>
      </c>
      <c r="B10" s="14"/>
      <c r="C10" s="14"/>
    </row>
    <row r="11">
      <c r="A11" s="13" t="s">
        <v>52</v>
      </c>
      <c r="B11" s="14"/>
      <c r="C11" s="15" t="str">
        <f t="shared" ref="C11:C24" si="2">B11</f>
        <v/>
      </c>
    </row>
    <row r="12">
      <c r="A12" s="13" t="s">
        <v>62</v>
      </c>
      <c r="B12" s="15">
        <f>138.4</f>
        <v>138.4</v>
      </c>
      <c r="C12" s="15">
        <f t="shared" si="2"/>
        <v>138.4</v>
      </c>
    </row>
    <row r="13">
      <c r="A13" s="13" t="s">
        <v>74</v>
      </c>
      <c r="B13" s="17">
        <f>(B11)+(B12)</f>
        <v>138.4</v>
      </c>
      <c r="C13" s="17">
        <f t="shared" si="2"/>
        <v>138.4</v>
      </c>
    </row>
    <row r="14">
      <c r="A14" s="13" t="s">
        <v>76</v>
      </c>
      <c r="B14" s="14"/>
      <c r="C14" s="15" t="str">
        <f t="shared" si="2"/>
        <v/>
      </c>
    </row>
    <row r="15">
      <c r="A15" s="13" t="s">
        <v>97</v>
      </c>
      <c r="B15" s="14"/>
      <c r="C15" s="15" t="str">
        <f t="shared" si="2"/>
        <v/>
      </c>
    </row>
    <row r="16">
      <c r="A16" s="13" t="s">
        <v>98</v>
      </c>
      <c r="B16" s="14"/>
      <c r="C16" s="15" t="str">
        <f t="shared" si="2"/>
        <v/>
      </c>
    </row>
    <row r="17">
      <c r="A17" s="13" t="s">
        <v>99</v>
      </c>
      <c r="B17" s="15">
        <f>1422.93</f>
        <v>1422.93</v>
      </c>
      <c r="C17" s="15">
        <f t="shared" si="2"/>
        <v>1422.93</v>
      </c>
    </row>
    <row r="18">
      <c r="A18" s="13" t="s">
        <v>110</v>
      </c>
      <c r="B18" s="17">
        <f>(B16)+(B17)</f>
        <v>1422.93</v>
      </c>
      <c r="C18" s="17">
        <f t="shared" si="2"/>
        <v>1422.93</v>
      </c>
    </row>
    <row r="19">
      <c r="A19" s="13" t="s">
        <v>111</v>
      </c>
      <c r="B19" s="15">
        <f>157.87</f>
        <v>157.87</v>
      </c>
      <c r="C19" s="15">
        <f t="shared" si="2"/>
        <v>157.87</v>
      </c>
    </row>
    <row r="20">
      <c r="A20" s="13" t="s">
        <v>112</v>
      </c>
      <c r="B20" s="17">
        <f>((B15)+(B18))+(B19)</f>
        <v>1580.8</v>
      </c>
      <c r="C20" s="17">
        <f t="shared" si="2"/>
        <v>1580.8</v>
      </c>
    </row>
    <row r="21">
      <c r="A21" s="13" t="s">
        <v>113</v>
      </c>
      <c r="B21" s="17">
        <f>(B14)+(B20)</f>
        <v>1580.8</v>
      </c>
      <c r="C21" s="17">
        <f t="shared" si="2"/>
        <v>1580.8</v>
      </c>
    </row>
    <row r="22">
      <c r="A22" s="13" t="s">
        <v>114</v>
      </c>
      <c r="B22" s="17">
        <f>(B13)+(B21)</f>
        <v>1719.2</v>
      </c>
      <c r="C22" s="17">
        <f t="shared" si="2"/>
        <v>1719.2</v>
      </c>
    </row>
    <row r="23">
      <c r="A23" s="13" t="s">
        <v>115</v>
      </c>
      <c r="B23" s="17">
        <f>(B9)-(B22)</f>
        <v>48270.8</v>
      </c>
      <c r="C23" s="17">
        <f t="shared" si="2"/>
        <v>48270.8</v>
      </c>
    </row>
    <row r="24">
      <c r="A24" s="13" t="s">
        <v>4</v>
      </c>
      <c r="B24" s="17">
        <f>(B23)+(0)</f>
        <v>48270.8</v>
      </c>
      <c r="C24" s="17">
        <f t="shared" si="2"/>
        <v>48270.8</v>
      </c>
    </row>
    <row r="25">
      <c r="A25" s="13"/>
      <c r="B25" s="14"/>
      <c r="C25" s="14"/>
    </row>
    <row r="26"/>
    <row r="27"/>
    <row r="28">
      <c r="A28" s="19" t="s">
        <v>193</v>
      </c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28:C28"/>
  </mergeCells>
  <printOptions/>
  <pageMargins bottom="0.75" footer="0.0" header="0.0" left="0.7" right="0.7" top="0.75"/>
  <pageSetup orientation="landscape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4" width="24.0"/>
    <col customWidth="1" min="5" max="26" width="7.63"/>
  </cols>
  <sheetData>
    <row r="1">
      <c r="A1" s="8" t="s">
        <v>6</v>
      </c>
    </row>
    <row r="2">
      <c r="A2" s="8" t="s">
        <v>298</v>
      </c>
    </row>
    <row r="3">
      <c r="A3" s="9" t="s">
        <v>358</v>
      </c>
    </row>
    <row r="5">
      <c r="A5" s="10"/>
      <c r="B5" s="11" t="s">
        <v>121</v>
      </c>
      <c r="C5" s="11" t="s">
        <v>123</v>
      </c>
      <c r="D5" s="11" t="s">
        <v>124</v>
      </c>
    </row>
    <row r="6">
      <c r="A6" s="13" t="s">
        <v>14</v>
      </c>
      <c r="B6" s="14"/>
      <c r="C6" s="14"/>
      <c r="D6" s="14"/>
    </row>
    <row r="7">
      <c r="A7" s="13" t="s">
        <v>22</v>
      </c>
      <c r="B7" s="14"/>
      <c r="C7" s="14"/>
      <c r="D7" s="15">
        <f t="shared" ref="D7:D24" si="1">(B7)+(C7)</f>
        <v>0</v>
      </c>
    </row>
    <row r="8">
      <c r="A8" s="13" t="s">
        <v>25</v>
      </c>
      <c r="B8" s="15">
        <f t="shared" ref="B8:B9" si="2">2577.08</f>
        <v>2577.08</v>
      </c>
      <c r="C8" s="14"/>
      <c r="D8" s="15">
        <f t="shared" si="1"/>
        <v>2577.08</v>
      </c>
    </row>
    <row r="9">
      <c r="A9" s="13" t="s">
        <v>26</v>
      </c>
      <c r="B9" s="15">
        <f t="shared" si="2"/>
        <v>2577.08</v>
      </c>
      <c r="C9" s="14"/>
      <c r="D9" s="15">
        <f t="shared" si="1"/>
        <v>2577.08</v>
      </c>
    </row>
    <row r="10">
      <c r="A10" s="13" t="s">
        <v>27</v>
      </c>
      <c r="B10" s="15">
        <f>33266.72</f>
        <v>33266.72</v>
      </c>
      <c r="C10" s="14"/>
      <c r="D10" s="15">
        <f t="shared" si="1"/>
        <v>33266.72</v>
      </c>
    </row>
    <row r="11">
      <c r="A11" s="13" t="s">
        <v>28</v>
      </c>
      <c r="B11" s="15">
        <f>2586.08</f>
        <v>2586.08</v>
      </c>
      <c r="C11" s="14"/>
      <c r="D11" s="15">
        <f t="shared" si="1"/>
        <v>2586.08</v>
      </c>
    </row>
    <row r="12">
      <c r="A12" s="13" t="s">
        <v>29</v>
      </c>
      <c r="B12" s="15">
        <f>2573.85</f>
        <v>2573.85</v>
      </c>
      <c r="C12" s="14"/>
      <c r="D12" s="15">
        <f t="shared" si="1"/>
        <v>2573.85</v>
      </c>
    </row>
    <row r="13">
      <c r="A13" s="13" t="s">
        <v>31</v>
      </c>
      <c r="B13" s="15">
        <f>2576.08</f>
        <v>2576.08</v>
      </c>
      <c r="C13" s="14"/>
      <c r="D13" s="15">
        <f t="shared" si="1"/>
        <v>2576.08</v>
      </c>
    </row>
    <row r="14">
      <c r="A14" s="13" t="s">
        <v>32</v>
      </c>
      <c r="B14" s="15">
        <f>15000</f>
        <v>15000</v>
      </c>
      <c r="C14" s="14"/>
      <c r="D14" s="15">
        <f t="shared" si="1"/>
        <v>15000</v>
      </c>
    </row>
    <row r="15">
      <c r="A15" s="13" t="s">
        <v>33</v>
      </c>
      <c r="B15" s="15">
        <f>8157.31</f>
        <v>8157.31</v>
      </c>
      <c r="C15" s="14"/>
      <c r="D15" s="15">
        <f t="shared" si="1"/>
        <v>8157.31</v>
      </c>
    </row>
    <row r="16">
      <c r="A16" s="13" t="s">
        <v>34</v>
      </c>
      <c r="B16" s="15">
        <f t="shared" ref="B16:B17" si="3">9738.23</f>
        <v>9738.23</v>
      </c>
      <c r="C16" s="14"/>
      <c r="D16" s="15">
        <f t="shared" si="1"/>
        <v>9738.23</v>
      </c>
    </row>
    <row r="17">
      <c r="A17" s="13" t="s">
        <v>35</v>
      </c>
      <c r="B17" s="15">
        <f t="shared" si="3"/>
        <v>9738.23</v>
      </c>
      <c r="C17" s="14"/>
      <c r="D17" s="15">
        <f t="shared" si="1"/>
        <v>9738.23</v>
      </c>
    </row>
    <row r="18">
      <c r="A18" s="13" t="s">
        <v>36</v>
      </c>
      <c r="B18" s="15">
        <f>18839.93</f>
        <v>18839.93</v>
      </c>
      <c r="C18" s="14"/>
      <c r="D18" s="15">
        <f t="shared" si="1"/>
        <v>18839.93</v>
      </c>
    </row>
    <row r="19">
      <c r="A19" s="13" t="s">
        <v>37</v>
      </c>
      <c r="B19" s="15">
        <f>4876.41</f>
        <v>4876.41</v>
      </c>
      <c r="C19" s="14"/>
      <c r="D19" s="15">
        <f t="shared" si="1"/>
        <v>4876.41</v>
      </c>
    </row>
    <row r="20">
      <c r="A20" s="13" t="s">
        <v>38</v>
      </c>
      <c r="B20" s="15">
        <f>4874.4</f>
        <v>4874.4</v>
      </c>
      <c r="C20" s="14"/>
      <c r="D20" s="15">
        <f t="shared" si="1"/>
        <v>4874.4</v>
      </c>
    </row>
    <row r="21">
      <c r="A21" s="13" t="s">
        <v>39</v>
      </c>
      <c r="B21" s="15">
        <f>2577.08</f>
        <v>2577.08</v>
      </c>
      <c r="C21" s="14"/>
      <c r="D21" s="15">
        <f t="shared" si="1"/>
        <v>2577.08</v>
      </c>
    </row>
    <row r="22">
      <c r="A22" s="13" t="s">
        <v>40</v>
      </c>
      <c r="B22" s="17">
        <f t="shared" ref="B22:C22" si="4">((((((((((((((B7)+(B8))+(B9))+(B10))+(B11))+(B12))+(B13))+(B14))+(B15))+(B16))+(B17))+(B18))+(B19))+(B20))+(B21)</f>
        <v>119958.48</v>
      </c>
      <c r="C22" s="17">
        <f t="shared" si="4"/>
        <v>0</v>
      </c>
      <c r="D22" s="17">
        <f t="shared" si="1"/>
        <v>119958.48</v>
      </c>
    </row>
    <row r="23">
      <c r="A23" s="13" t="s">
        <v>2</v>
      </c>
      <c r="B23" s="17">
        <f t="shared" ref="B23:C23" si="5">B22</f>
        <v>119958.48</v>
      </c>
      <c r="C23" s="17">
        <f t="shared" si="5"/>
        <v>0</v>
      </c>
      <c r="D23" s="17">
        <f t="shared" si="1"/>
        <v>119958.48</v>
      </c>
    </row>
    <row r="24">
      <c r="A24" s="13" t="s">
        <v>50</v>
      </c>
      <c r="B24" s="17">
        <f t="shared" ref="B24:C24" si="6">(B23)-(0)</f>
        <v>119958.48</v>
      </c>
      <c r="C24" s="17">
        <f t="shared" si="6"/>
        <v>0</v>
      </c>
      <c r="D24" s="17">
        <f t="shared" si="1"/>
        <v>119958.48</v>
      </c>
    </row>
    <row r="25">
      <c r="A25" s="13" t="s">
        <v>51</v>
      </c>
      <c r="B25" s="14"/>
      <c r="C25" s="14"/>
      <c r="D25" s="14"/>
    </row>
    <row r="26">
      <c r="A26" s="13" t="s">
        <v>52</v>
      </c>
      <c r="B26" s="14"/>
      <c r="C26" s="14"/>
      <c r="D26" s="15">
        <f t="shared" ref="D26:D36" si="7">(B26)+(C26)</f>
        <v>0</v>
      </c>
    </row>
    <row r="27">
      <c r="A27" s="13" t="s">
        <v>60</v>
      </c>
      <c r="B27" s="14"/>
      <c r="C27" s="15">
        <f>389.4</f>
        <v>389.4</v>
      </c>
      <c r="D27" s="15">
        <f t="shared" si="7"/>
        <v>389.4</v>
      </c>
    </row>
    <row r="28">
      <c r="A28" s="13" t="s">
        <v>62</v>
      </c>
      <c r="B28" s="14"/>
      <c r="C28" s="15">
        <f>46.13</f>
        <v>46.13</v>
      </c>
      <c r="D28" s="15">
        <f t="shared" si="7"/>
        <v>46.13</v>
      </c>
    </row>
    <row r="29">
      <c r="A29" s="13" t="s">
        <v>69</v>
      </c>
      <c r="B29" s="14"/>
      <c r="C29" s="14"/>
      <c r="D29" s="15">
        <f t="shared" si="7"/>
        <v>0</v>
      </c>
    </row>
    <row r="30">
      <c r="A30" s="13" t="s">
        <v>70</v>
      </c>
      <c r="B30" s="14"/>
      <c r="C30" s="15">
        <f>680.75</f>
        <v>680.75</v>
      </c>
      <c r="D30" s="15">
        <f t="shared" si="7"/>
        <v>680.75</v>
      </c>
    </row>
    <row r="31">
      <c r="A31" s="13" t="s">
        <v>72</v>
      </c>
      <c r="B31" s="17">
        <f t="shared" ref="B31:C31" si="8">(B29)+(B30)</f>
        <v>0</v>
      </c>
      <c r="C31" s="17">
        <f t="shared" si="8"/>
        <v>680.75</v>
      </c>
      <c r="D31" s="17">
        <f t="shared" si="7"/>
        <v>680.75</v>
      </c>
    </row>
    <row r="32">
      <c r="A32" s="13" t="s">
        <v>73</v>
      </c>
      <c r="B32" s="14"/>
      <c r="C32" s="15">
        <f>85</f>
        <v>85</v>
      </c>
      <c r="D32" s="15">
        <f t="shared" si="7"/>
        <v>85</v>
      </c>
    </row>
    <row r="33">
      <c r="A33" s="13" t="s">
        <v>74</v>
      </c>
      <c r="B33" s="17">
        <f t="shared" ref="B33:C33" si="9">((((B26)+(B27))+(B28))+(B31))+(B32)</f>
        <v>0</v>
      </c>
      <c r="C33" s="17">
        <f t="shared" si="9"/>
        <v>1201.28</v>
      </c>
      <c r="D33" s="17">
        <f t="shared" si="7"/>
        <v>1201.28</v>
      </c>
    </row>
    <row r="34">
      <c r="A34" s="13" t="s">
        <v>114</v>
      </c>
      <c r="B34" s="17">
        <f t="shared" ref="B34:C34" si="10">B33</f>
        <v>0</v>
      </c>
      <c r="C34" s="17">
        <f t="shared" si="10"/>
        <v>1201.28</v>
      </c>
      <c r="D34" s="17">
        <f t="shared" si="7"/>
        <v>1201.28</v>
      </c>
    </row>
    <row r="35">
      <c r="A35" s="13" t="s">
        <v>115</v>
      </c>
      <c r="B35" s="17">
        <f t="shared" ref="B35:C35" si="11">(B24)-(B34)</f>
        <v>119958.48</v>
      </c>
      <c r="C35" s="17">
        <f t="shared" si="11"/>
        <v>-1201.28</v>
      </c>
      <c r="D35" s="17">
        <f t="shared" si="7"/>
        <v>118757.2</v>
      </c>
    </row>
    <row r="36">
      <c r="A36" s="13" t="s">
        <v>4</v>
      </c>
      <c r="B36" s="17">
        <f t="shared" ref="B36:C36" si="12">(B35)+(0)</f>
        <v>119958.48</v>
      </c>
      <c r="C36" s="17">
        <f t="shared" si="12"/>
        <v>-1201.28</v>
      </c>
      <c r="D36" s="17">
        <f t="shared" si="7"/>
        <v>118757.2</v>
      </c>
    </row>
    <row r="37">
      <c r="A37" s="13"/>
      <c r="B37" s="14"/>
      <c r="C37" s="14"/>
      <c r="D37" s="14"/>
    </row>
    <row r="38"/>
    <row r="39"/>
    <row r="40">
      <c r="A40" s="19" t="s">
        <v>362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298</v>
      </c>
    </row>
    <row r="3">
      <c r="A3" s="9" t="s">
        <v>363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2</v>
      </c>
      <c r="B7" s="14"/>
    </row>
    <row r="8">
      <c r="A8" s="13" t="s">
        <v>50</v>
      </c>
      <c r="B8" s="17">
        <f>(B7)-(0)</f>
        <v>0</v>
      </c>
    </row>
    <row r="9">
      <c r="A9" s="13" t="s">
        <v>51</v>
      </c>
      <c r="B9" s="14"/>
    </row>
    <row r="10">
      <c r="A10" s="13" t="s">
        <v>52</v>
      </c>
      <c r="B10" s="14"/>
    </row>
    <row r="11">
      <c r="A11" s="13" t="s">
        <v>53</v>
      </c>
      <c r="B11" s="14"/>
    </row>
    <row r="12">
      <c r="A12" s="13" t="s">
        <v>54</v>
      </c>
      <c r="B12" s="15">
        <f>3000</f>
        <v>3000</v>
      </c>
    </row>
    <row r="13">
      <c r="A13" s="13" t="s">
        <v>55</v>
      </c>
      <c r="B13" s="15">
        <f>12</f>
        <v>12</v>
      </c>
    </row>
    <row r="14">
      <c r="A14" s="13" t="s">
        <v>56</v>
      </c>
      <c r="B14" s="17">
        <f>((B11)+(B12))+(B13)</f>
        <v>3012</v>
      </c>
    </row>
    <row r="15">
      <c r="A15" s="13" t="s">
        <v>57</v>
      </c>
      <c r="B15" s="15">
        <f>165</f>
        <v>165</v>
      </c>
    </row>
    <row r="16">
      <c r="A16" s="13" t="s">
        <v>60</v>
      </c>
      <c r="B16" s="15">
        <f>50</f>
        <v>50</v>
      </c>
    </row>
    <row r="17">
      <c r="A17" s="13" t="s">
        <v>62</v>
      </c>
      <c r="B17" s="15">
        <f>1381.85</f>
        <v>1381.85</v>
      </c>
    </row>
    <row r="18">
      <c r="A18" s="13" t="s">
        <v>66</v>
      </c>
      <c r="B18" s="15">
        <f>99</f>
        <v>99</v>
      </c>
    </row>
    <row r="19">
      <c r="A19" s="13" t="s">
        <v>67</v>
      </c>
      <c r="B19" s="15">
        <f>200</f>
        <v>200</v>
      </c>
    </row>
    <row r="20">
      <c r="A20" s="13" t="s">
        <v>68</v>
      </c>
      <c r="B20" s="15">
        <f>48</f>
        <v>48</v>
      </c>
    </row>
    <row r="21">
      <c r="A21" s="13" t="s">
        <v>73</v>
      </c>
      <c r="B21" s="15">
        <f>85</f>
        <v>85</v>
      </c>
    </row>
    <row r="22">
      <c r="A22" s="13" t="s">
        <v>74</v>
      </c>
      <c r="B22" s="17">
        <f>((((((((B10)+(B14))+(B15))+(B16))+(B17))+(B18))+(B19))+(B20))+(B21)</f>
        <v>5040.85</v>
      </c>
    </row>
    <row r="23">
      <c r="A23" s="13" t="s">
        <v>75</v>
      </c>
      <c r="B23" s="15">
        <f>188.73</f>
        <v>188.73</v>
      </c>
    </row>
    <row r="24">
      <c r="A24" s="13" t="s">
        <v>76</v>
      </c>
      <c r="B24" s="14"/>
    </row>
    <row r="25">
      <c r="A25" s="13" t="s">
        <v>77</v>
      </c>
      <c r="B25" s="14"/>
    </row>
    <row r="26">
      <c r="A26" s="13" t="s">
        <v>78</v>
      </c>
      <c r="B26" s="14"/>
    </row>
    <row r="27">
      <c r="A27" s="13" t="s">
        <v>82</v>
      </c>
      <c r="B27" s="15">
        <f>592.85</f>
        <v>592.85</v>
      </c>
    </row>
    <row r="28">
      <c r="A28" s="13" t="s">
        <v>83</v>
      </c>
      <c r="B28" s="15">
        <f>629.98</f>
        <v>629.98</v>
      </c>
    </row>
    <row r="29">
      <c r="A29" s="13" t="s">
        <v>84</v>
      </c>
      <c r="B29" s="15">
        <f>3379.44</f>
        <v>3379.44</v>
      </c>
    </row>
    <row r="30">
      <c r="A30" s="13" t="s">
        <v>86</v>
      </c>
      <c r="B30" s="15">
        <f>510.07</f>
        <v>510.07</v>
      </c>
    </row>
    <row r="31">
      <c r="A31" s="13" t="s">
        <v>87</v>
      </c>
      <c r="B31" s="15">
        <f>332.9</f>
        <v>332.9</v>
      </c>
    </row>
    <row r="32">
      <c r="A32" s="13" t="s">
        <v>317</v>
      </c>
      <c r="B32" s="15">
        <f>3612.66</f>
        <v>3612.66</v>
      </c>
    </row>
    <row r="33">
      <c r="A33" s="13" t="s">
        <v>88</v>
      </c>
      <c r="B33" s="15">
        <f>407.15</f>
        <v>407.15</v>
      </c>
    </row>
    <row r="34">
      <c r="A34" s="13" t="s">
        <v>89</v>
      </c>
      <c r="B34" s="15">
        <f>2721.09</f>
        <v>2721.09</v>
      </c>
    </row>
    <row r="35">
      <c r="A35" s="13" t="s">
        <v>90</v>
      </c>
      <c r="B35" s="15">
        <f>1252.53</f>
        <v>1252.53</v>
      </c>
    </row>
    <row r="36">
      <c r="A36" s="13" t="s">
        <v>348</v>
      </c>
      <c r="B36" s="15">
        <f>1931.61</f>
        <v>1931.61</v>
      </c>
    </row>
    <row r="37">
      <c r="A37" s="13" t="s">
        <v>349</v>
      </c>
      <c r="B37" s="15">
        <f>2004.69</f>
        <v>2004.69</v>
      </c>
    </row>
    <row r="38">
      <c r="A38" s="13" t="s">
        <v>350</v>
      </c>
      <c r="B38" s="15">
        <f>614.3</f>
        <v>614.3</v>
      </c>
    </row>
    <row r="39">
      <c r="A39" s="13" t="s">
        <v>91</v>
      </c>
      <c r="B39" s="15">
        <f>1394.82</f>
        <v>1394.82</v>
      </c>
    </row>
    <row r="40">
      <c r="A40" s="13" t="s">
        <v>92</v>
      </c>
      <c r="B40" s="15">
        <f>15342.23</f>
        <v>15342.23</v>
      </c>
    </row>
    <row r="41">
      <c r="A41" s="13" t="s">
        <v>93</v>
      </c>
      <c r="B41" s="15">
        <f>234.81</f>
        <v>234.81</v>
      </c>
    </row>
    <row r="42">
      <c r="A42" s="13" t="s">
        <v>94</v>
      </c>
      <c r="B42" s="17">
        <f>(((((((((((((((B26)+(B27))+(B28))+(B29))+(B30))+(B31))+(B32))+(B33))+(B34))+(B35))+(B36))+(B37))+(B38))+(B39))+(B40))+(B41)</f>
        <v>34961.13</v>
      </c>
    </row>
    <row r="43">
      <c r="A43" s="13" t="s">
        <v>95</v>
      </c>
      <c r="B43" s="17">
        <f>(B25)+(B42)</f>
        <v>34961.13</v>
      </c>
    </row>
    <row r="44">
      <c r="A44" s="13" t="s">
        <v>97</v>
      </c>
      <c r="B44" s="14"/>
    </row>
    <row r="45">
      <c r="A45" s="13" t="s">
        <v>98</v>
      </c>
      <c r="B45" s="14"/>
    </row>
    <row r="46">
      <c r="A46" s="13" t="s">
        <v>99</v>
      </c>
      <c r="B46" s="15">
        <f>6578.36</f>
        <v>6578.36</v>
      </c>
    </row>
    <row r="47">
      <c r="A47" s="13" t="s">
        <v>101</v>
      </c>
      <c r="B47" s="14"/>
    </row>
    <row r="48">
      <c r="A48" s="13" t="s">
        <v>102</v>
      </c>
      <c r="B48" s="15">
        <f>497.45</f>
        <v>497.45</v>
      </c>
    </row>
    <row r="49">
      <c r="A49" s="13" t="s">
        <v>104</v>
      </c>
      <c r="B49" s="15">
        <f>74.52</f>
        <v>74.52</v>
      </c>
    </row>
    <row r="50">
      <c r="A50" s="13" t="s">
        <v>105</v>
      </c>
      <c r="B50" s="17">
        <f>((B47)+(B48))+(B49)</f>
        <v>571.97</v>
      </c>
    </row>
    <row r="51">
      <c r="A51" s="13" t="s">
        <v>106</v>
      </c>
      <c r="B51" s="15">
        <f>55</f>
        <v>55</v>
      </c>
    </row>
    <row r="52">
      <c r="A52" s="13" t="s">
        <v>107</v>
      </c>
      <c r="B52" s="15">
        <f>4378.09</f>
        <v>4378.09</v>
      </c>
    </row>
    <row r="53">
      <c r="A53" s="13" t="s">
        <v>108</v>
      </c>
      <c r="B53" s="15">
        <f>506.25</f>
        <v>506.25</v>
      </c>
    </row>
    <row r="54">
      <c r="A54" s="13" t="s">
        <v>110</v>
      </c>
      <c r="B54" s="17">
        <f>(((((B45)+(B46))+(B50))+(B51))+(B52))+(B53)</f>
        <v>12089.67</v>
      </c>
    </row>
    <row r="55">
      <c r="A55" s="13" t="s">
        <v>111</v>
      </c>
      <c r="B55" s="15">
        <f>27.93</f>
        <v>27.93</v>
      </c>
    </row>
    <row r="56">
      <c r="A56" s="13" t="s">
        <v>112</v>
      </c>
      <c r="B56" s="17">
        <f>((B44)+(B54))+(B55)</f>
        <v>12117.6</v>
      </c>
    </row>
    <row r="57">
      <c r="A57" s="13" t="s">
        <v>113</v>
      </c>
      <c r="B57" s="17">
        <f>((B24)+(B43))+(B56)</f>
        <v>47078.73</v>
      </c>
    </row>
    <row r="58">
      <c r="A58" s="13" t="s">
        <v>114</v>
      </c>
      <c r="B58" s="17">
        <f>((B22)+(B23))+(B57)</f>
        <v>52308.31</v>
      </c>
    </row>
    <row r="59">
      <c r="A59" s="13" t="s">
        <v>115</v>
      </c>
      <c r="B59" s="17">
        <f>(B8)-(B58)</f>
        <v>-52308.31</v>
      </c>
    </row>
    <row r="60">
      <c r="A60" s="13" t="s">
        <v>4</v>
      </c>
      <c r="B60" s="17">
        <f>(B59)+(0)</f>
        <v>-52308.31</v>
      </c>
    </row>
    <row r="61">
      <c r="A61" s="13"/>
      <c r="B61" s="14"/>
    </row>
    <row r="62"/>
    <row r="63"/>
    <row r="64">
      <c r="A64" s="19" t="s">
        <v>364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365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15">
        <f>165000</f>
        <v>165000</v>
      </c>
    </row>
    <row r="11">
      <c r="A11" s="13" t="s">
        <v>134</v>
      </c>
      <c r="B11" s="15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291828.7</f>
        <v>291828.7</v>
      </c>
    </row>
    <row r="16">
      <c r="A16" s="13" t="s">
        <v>140</v>
      </c>
      <c r="B16" s="15">
        <f>177635.66</f>
        <v>177635.66</v>
      </c>
    </row>
    <row r="17">
      <c r="A17" s="13" t="s">
        <v>141</v>
      </c>
      <c r="B17" s="15">
        <f>98244.87</f>
        <v>98244.87</v>
      </c>
    </row>
    <row r="18">
      <c r="A18" s="13" t="s">
        <v>143</v>
      </c>
      <c r="B18" s="17">
        <f>(((B14)+(B15))+(B16))+(B17)</f>
        <v>567709.23</v>
      </c>
    </row>
    <row r="19">
      <c r="A19" s="13" t="s">
        <v>144</v>
      </c>
      <c r="B19" s="17">
        <f>(B13)+(B18)</f>
        <v>921803.72</v>
      </c>
    </row>
    <row r="20">
      <c r="A20" s="13" t="s">
        <v>145</v>
      </c>
      <c r="B20" s="14"/>
    </row>
    <row r="21">
      <c r="A21" s="13" t="s">
        <v>146</v>
      </c>
      <c r="B21" s="15">
        <f>70143.7</f>
        <v>70143.7</v>
      </c>
    </row>
    <row r="22">
      <c r="A22" s="13" t="s">
        <v>147</v>
      </c>
      <c r="B22" s="17">
        <f>B21</f>
        <v>70143.7</v>
      </c>
    </row>
    <row r="23">
      <c r="A23" s="13" t="s">
        <v>148</v>
      </c>
      <c r="B23" s="14"/>
    </row>
    <row r="24">
      <c r="A24" s="13" t="s">
        <v>149</v>
      </c>
      <c r="B24" s="15">
        <f t="shared" ref="B24:B30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7">
        <f>((((((B24)+(B25))+(B26))+(B27))+(B28))+(B29))+(B30)</f>
        <v>0</v>
      </c>
    </row>
    <row r="32">
      <c r="A32" s="13" t="s">
        <v>158</v>
      </c>
      <c r="B32" s="17">
        <f>((B19)+(B22))+(B31)</f>
        <v>991947.42</v>
      </c>
    </row>
    <row r="33">
      <c r="A33" s="13" t="s">
        <v>159</v>
      </c>
      <c r="B33" s="14"/>
    </row>
    <row r="34">
      <c r="A34" s="13" t="s">
        <v>160</v>
      </c>
      <c r="B34" s="15">
        <f>162750</f>
        <v>162750</v>
      </c>
    </row>
    <row r="35">
      <c r="A35" s="13" t="s">
        <v>161</v>
      </c>
      <c r="B35" s="15">
        <f>475000</f>
        <v>475000</v>
      </c>
    </row>
    <row r="36">
      <c r="A36" s="13" t="s">
        <v>162</v>
      </c>
      <c r="B36" s="15">
        <f>110000</f>
        <v>110000</v>
      </c>
    </row>
    <row r="37">
      <c r="A37" s="13" t="s">
        <v>163</v>
      </c>
      <c r="B37" s="17">
        <f>((B34)+(B35))+(B36)</f>
        <v>747750</v>
      </c>
    </row>
    <row r="38">
      <c r="A38" s="13" t="s">
        <v>164</v>
      </c>
      <c r="B38" s="14"/>
    </row>
    <row r="39">
      <c r="A39" s="13" t="s">
        <v>165</v>
      </c>
      <c r="B39" s="15">
        <f>0</f>
        <v>0</v>
      </c>
    </row>
    <row r="40">
      <c r="A40" s="13" t="s">
        <v>166</v>
      </c>
      <c r="B40" s="17">
        <f>B39</f>
        <v>0</v>
      </c>
    </row>
    <row r="41">
      <c r="A41" s="13" t="s">
        <v>167</v>
      </c>
      <c r="B41" s="17">
        <f>((B32)+(B37))+(B40)</f>
        <v>1739697.42</v>
      </c>
    </row>
    <row r="42">
      <c r="A42" s="13" t="s">
        <v>168</v>
      </c>
      <c r="B42" s="14"/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5">
        <f>42922.76</f>
        <v>42922.76</v>
      </c>
    </row>
    <row r="47">
      <c r="A47" s="13" t="s">
        <v>173</v>
      </c>
      <c r="B47" s="17">
        <f>B46</f>
        <v>42922.76</v>
      </c>
    </row>
    <row r="48">
      <c r="A48" s="13" t="s">
        <v>174</v>
      </c>
      <c r="B48" s="14"/>
    </row>
    <row r="49">
      <c r="A49" s="13" t="s">
        <v>175</v>
      </c>
      <c r="B49" s="15">
        <f>0</f>
        <v>0</v>
      </c>
    </row>
    <row r="50">
      <c r="A50" s="13" t="s">
        <v>177</v>
      </c>
      <c r="B50" s="17">
        <f>B49</f>
        <v>0</v>
      </c>
    </row>
    <row r="51">
      <c r="A51" s="13" t="s">
        <v>178</v>
      </c>
      <c r="B51" s="14"/>
    </row>
    <row r="52">
      <c r="A52" s="13" t="s">
        <v>179</v>
      </c>
      <c r="B52" s="15">
        <f t="shared" ref="B52:B54" si="2">0</f>
        <v>0</v>
      </c>
    </row>
    <row r="53">
      <c r="A53" s="13" t="s">
        <v>180</v>
      </c>
      <c r="B53" s="15">
        <f t="shared" si="2"/>
        <v>0</v>
      </c>
    </row>
    <row r="54">
      <c r="A54" s="13" t="s">
        <v>181</v>
      </c>
      <c r="B54" s="15">
        <f t="shared" si="2"/>
        <v>0</v>
      </c>
    </row>
    <row r="55">
      <c r="A55" s="13" t="s">
        <v>182</v>
      </c>
      <c r="B55" s="17">
        <f>((B52)+(B53))+(B54)</f>
        <v>0</v>
      </c>
    </row>
    <row r="56">
      <c r="A56" s="13" t="s">
        <v>183</v>
      </c>
      <c r="B56" s="17">
        <f>((B47)+(B50))+(B55)</f>
        <v>42922.76</v>
      </c>
    </row>
    <row r="57">
      <c r="A57" s="13" t="s">
        <v>184</v>
      </c>
      <c r="B57" s="17">
        <f>B56</f>
        <v>42922.76</v>
      </c>
    </row>
    <row r="58">
      <c r="A58" s="13" t="s">
        <v>185</v>
      </c>
      <c r="B58" s="14"/>
    </row>
    <row r="59">
      <c r="A59" s="13" t="s">
        <v>186</v>
      </c>
      <c r="B59" s="15">
        <f>0</f>
        <v>0</v>
      </c>
    </row>
    <row r="60">
      <c r="A60" s="13" t="s">
        <v>187</v>
      </c>
      <c r="B60" s="15">
        <f>1733965.37</f>
        <v>1733965.37</v>
      </c>
    </row>
    <row r="61">
      <c r="A61" s="13" t="s">
        <v>188</v>
      </c>
      <c r="B61" s="15">
        <f>-37190.71</f>
        <v>-37190.71</v>
      </c>
    </row>
    <row r="62">
      <c r="A62" s="13" t="s">
        <v>189</v>
      </c>
      <c r="B62" s="17">
        <f>((B59)+(B60))+(B61)</f>
        <v>1696774.66</v>
      </c>
    </row>
    <row r="63">
      <c r="A63" s="13" t="s">
        <v>190</v>
      </c>
      <c r="B63" s="17">
        <f>(B57)+(B62)</f>
        <v>1739697.42</v>
      </c>
    </row>
    <row r="64">
      <c r="A64" s="13"/>
      <c r="B64" s="14"/>
    </row>
    <row r="65"/>
    <row r="66"/>
    <row r="67">
      <c r="A67" s="19" t="s">
        <v>366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298</v>
      </c>
    </row>
    <row r="3">
      <c r="A3" s="9" t="s">
        <v>363</v>
      </c>
    </row>
    <row r="5">
      <c r="A5" s="10"/>
      <c r="B5" s="11" t="s">
        <v>367</v>
      </c>
      <c r="C5" s="11" t="s">
        <v>368</v>
      </c>
      <c r="D5" s="11" t="s">
        <v>121</v>
      </c>
      <c r="E5" s="11" t="s">
        <v>123</v>
      </c>
      <c r="F5" s="11" t="s">
        <v>124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2</v>
      </c>
      <c r="B7" s="14"/>
      <c r="C7" s="14"/>
      <c r="D7" s="14"/>
      <c r="E7" s="14"/>
      <c r="F7" s="17">
        <f t="shared" ref="F7:F8" si="2">(((B7)+(C7))+(D7))+(E7)</f>
        <v>0</v>
      </c>
    </row>
    <row r="8">
      <c r="A8" s="13" t="s">
        <v>50</v>
      </c>
      <c r="B8" s="17">
        <f t="shared" ref="B8:E8" si="1">(B7)-(0)</f>
        <v>0</v>
      </c>
      <c r="C8" s="17">
        <f t="shared" si="1"/>
        <v>0</v>
      </c>
      <c r="D8" s="17">
        <f t="shared" si="1"/>
        <v>0</v>
      </c>
      <c r="E8" s="17">
        <f t="shared" si="1"/>
        <v>0</v>
      </c>
      <c r="F8" s="17">
        <f t="shared" si="2"/>
        <v>0</v>
      </c>
    </row>
    <row r="9">
      <c r="A9" s="13" t="s">
        <v>51</v>
      </c>
      <c r="B9" s="14"/>
      <c r="C9" s="14"/>
      <c r="D9" s="14"/>
      <c r="E9" s="14"/>
      <c r="F9" s="14"/>
    </row>
    <row r="10">
      <c r="A10" s="13" t="s">
        <v>52</v>
      </c>
      <c r="B10" s="14"/>
      <c r="C10" s="14"/>
      <c r="D10" s="14"/>
      <c r="E10" s="14"/>
      <c r="F10" s="15">
        <f t="shared" ref="F10:F60" si="3">(((B10)+(C10))+(D10))+(E10)</f>
        <v>0</v>
      </c>
    </row>
    <row r="11">
      <c r="A11" s="13" t="s">
        <v>53</v>
      </c>
      <c r="B11" s="14"/>
      <c r="C11" s="14"/>
      <c r="D11" s="14"/>
      <c r="E11" s="14"/>
      <c r="F11" s="15">
        <f t="shared" si="3"/>
        <v>0</v>
      </c>
    </row>
    <row r="12">
      <c r="A12" s="13" t="s">
        <v>54</v>
      </c>
      <c r="B12" s="14"/>
      <c r="C12" s="14"/>
      <c r="D12" s="14"/>
      <c r="E12" s="15">
        <f>3000</f>
        <v>3000</v>
      </c>
      <c r="F12" s="15">
        <f t="shared" si="3"/>
        <v>3000</v>
      </c>
    </row>
    <row r="13">
      <c r="A13" s="13" t="s">
        <v>55</v>
      </c>
      <c r="B13" s="14"/>
      <c r="C13" s="14"/>
      <c r="D13" s="14"/>
      <c r="E13" s="15">
        <f>12</f>
        <v>12</v>
      </c>
      <c r="F13" s="15">
        <f t="shared" si="3"/>
        <v>12</v>
      </c>
    </row>
    <row r="14">
      <c r="A14" s="13" t="s">
        <v>56</v>
      </c>
      <c r="B14" s="17">
        <f t="shared" ref="B14:E14" si="4">((B11)+(B12))+(B13)</f>
        <v>0</v>
      </c>
      <c r="C14" s="17">
        <f t="shared" si="4"/>
        <v>0</v>
      </c>
      <c r="D14" s="17">
        <f t="shared" si="4"/>
        <v>0</v>
      </c>
      <c r="E14" s="17">
        <f t="shared" si="4"/>
        <v>3012</v>
      </c>
      <c r="F14" s="17">
        <f t="shared" si="3"/>
        <v>3012</v>
      </c>
    </row>
    <row r="15">
      <c r="A15" s="13" t="s">
        <v>57</v>
      </c>
      <c r="B15" s="14"/>
      <c r="C15" s="14"/>
      <c r="D15" s="14"/>
      <c r="E15" s="15">
        <f>165</f>
        <v>165</v>
      </c>
      <c r="F15" s="15">
        <f t="shared" si="3"/>
        <v>165</v>
      </c>
    </row>
    <row r="16">
      <c r="A16" s="13" t="s">
        <v>60</v>
      </c>
      <c r="B16" s="14"/>
      <c r="C16" s="14"/>
      <c r="D16" s="14"/>
      <c r="E16" s="15">
        <f>50</f>
        <v>50</v>
      </c>
      <c r="F16" s="15">
        <f t="shared" si="3"/>
        <v>50</v>
      </c>
    </row>
    <row r="17">
      <c r="A17" s="13" t="s">
        <v>62</v>
      </c>
      <c r="B17" s="14"/>
      <c r="C17" s="14"/>
      <c r="D17" s="14"/>
      <c r="E17" s="15">
        <f>1381.85</f>
        <v>1381.85</v>
      </c>
      <c r="F17" s="15">
        <f t="shared" si="3"/>
        <v>1381.85</v>
      </c>
    </row>
    <row r="18">
      <c r="A18" s="13" t="s">
        <v>66</v>
      </c>
      <c r="B18" s="14"/>
      <c r="C18" s="14"/>
      <c r="D18" s="14"/>
      <c r="E18" s="15">
        <f>99</f>
        <v>99</v>
      </c>
      <c r="F18" s="15">
        <f t="shared" si="3"/>
        <v>99</v>
      </c>
    </row>
    <row r="19">
      <c r="A19" s="13" t="s">
        <v>67</v>
      </c>
      <c r="B19" s="14"/>
      <c r="C19" s="14"/>
      <c r="D19" s="14"/>
      <c r="E19" s="15">
        <f>200</f>
        <v>200</v>
      </c>
      <c r="F19" s="15">
        <f t="shared" si="3"/>
        <v>200</v>
      </c>
    </row>
    <row r="20">
      <c r="A20" s="13" t="s">
        <v>68</v>
      </c>
      <c r="B20" s="14"/>
      <c r="C20" s="14"/>
      <c r="D20" s="14"/>
      <c r="E20" s="15">
        <f>48</f>
        <v>48</v>
      </c>
      <c r="F20" s="15">
        <f t="shared" si="3"/>
        <v>48</v>
      </c>
    </row>
    <row r="21">
      <c r="A21" s="13" t="s">
        <v>73</v>
      </c>
      <c r="B21" s="14"/>
      <c r="C21" s="14"/>
      <c r="D21" s="14"/>
      <c r="E21" s="15">
        <f>85</f>
        <v>85</v>
      </c>
      <c r="F21" s="15">
        <f t="shared" si="3"/>
        <v>85</v>
      </c>
    </row>
    <row r="22">
      <c r="A22" s="13" t="s">
        <v>74</v>
      </c>
      <c r="B22" s="17">
        <f t="shared" ref="B22:E22" si="5">((((((((B10)+(B14))+(B15))+(B16))+(B17))+(B18))+(B19))+(B20))+(B21)</f>
        <v>0</v>
      </c>
      <c r="C22" s="17">
        <f t="shared" si="5"/>
        <v>0</v>
      </c>
      <c r="D22" s="17">
        <f t="shared" si="5"/>
        <v>0</v>
      </c>
      <c r="E22" s="17">
        <f t="shared" si="5"/>
        <v>5040.85</v>
      </c>
      <c r="F22" s="17">
        <f t="shared" si="3"/>
        <v>5040.85</v>
      </c>
    </row>
    <row r="23">
      <c r="A23" s="13" t="s">
        <v>75</v>
      </c>
      <c r="B23" s="14"/>
      <c r="C23" s="14"/>
      <c r="D23" s="14"/>
      <c r="E23" s="15">
        <f>188.73</f>
        <v>188.73</v>
      </c>
      <c r="F23" s="15">
        <f t="shared" si="3"/>
        <v>188.73</v>
      </c>
    </row>
    <row r="24">
      <c r="A24" s="13" t="s">
        <v>76</v>
      </c>
      <c r="B24" s="14"/>
      <c r="C24" s="14"/>
      <c r="D24" s="14"/>
      <c r="E24" s="14"/>
      <c r="F24" s="15">
        <f t="shared" si="3"/>
        <v>0</v>
      </c>
    </row>
    <row r="25">
      <c r="A25" s="13" t="s">
        <v>77</v>
      </c>
      <c r="B25" s="14"/>
      <c r="C25" s="14"/>
      <c r="D25" s="14"/>
      <c r="E25" s="14"/>
      <c r="F25" s="15">
        <f t="shared" si="3"/>
        <v>0</v>
      </c>
    </row>
    <row r="26">
      <c r="A26" s="13" t="s">
        <v>78</v>
      </c>
      <c r="B26" s="14"/>
      <c r="C26" s="14"/>
      <c r="D26" s="14"/>
      <c r="E26" s="14"/>
      <c r="F26" s="15">
        <f t="shared" si="3"/>
        <v>0</v>
      </c>
    </row>
    <row r="27">
      <c r="A27" s="13" t="s">
        <v>82</v>
      </c>
      <c r="B27" s="14"/>
      <c r="C27" s="14"/>
      <c r="D27" s="15">
        <f>592.85</f>
        <v>592.85</v>
      </c>
      <c r="E27" s="14"/>
      <c r="F27" s="15">
        <f t="shared" si="3"/>
        <v>592.85</v>
      </c>
    </row>
    <row r="28">
      <c r="A28" s="13" t="s">
        <v>83</v>
      </c>
      <c r="B28" s="14"/>
      <c r="C28" s="14"/>
      <c r="D28" s="15">
        <f>629.98</f>
        <v>629.98</v>
      </c>
      <c r="E28" s="14"/>
      <c r="F28" s="15">
        <f t="shared" si="3"/>
        <v>629.98</v>
      </c>
    </row>
    <row r="29">
      <c r="A29" s="13" t="s">
        <v>84</v>
      </c>
      <c r="B29" s="14"/>
      <c r="C29" s="14"/>
      <c r="D29" s="15">
        <f>3379.44</f>
        <v>3379.44</v>
      </c>
      <c r="E29" s="14"/>
      <c r="F29" s="15">
        <f t="shared" si="3"/>
        <v>3379.44</v>
      </c>
    </row>
    <row r="30">
      <c r="A30" s="13" t="s">
        <v>86</v>
      </c>
      <c r="B30" s="14"/>
      <c r="C30" s="14"/>
      <c r="D30" s="15">
        <f>510.07</f>
        <v>510.07</v>
      </c>
      <c r="E30" s="14"/>
      <c r="F30" s="15">
        <f t="shared" si="3"/>
        <v>510.07</v>
      </c>
    </row>
    <row r="31">
      <c r="A31" s="13" t="s">
        <v>87</v>
      </c>
      <c r="B31" s="14"/>
      <c r="C31" s="14"/>
      <c r="D31" s="15">
        <f>332.9</f>
        <v>332.9</v>
      </c>
      <c r="E31" s="14"/>
      <c r="F31" s="15">
        <f t="shared" si="3"/>
        <v>332.9</v>
      </c>
    </row>
    <row r="32">
      <c r="A32" s="13" t="s">
        <v>317</v>
      </c>
      <c r="B32" s="14"/>
      <c r="C32" s="14"/>
      <c r="D32" s="15">
        <f>3612.66</f>
        <v>3612.66</v>
      </c>
      <c r="E32" s="14"/>
      <c r="F32" s="15">
        <f t="shared" si="3"/>
        <v>3612.66</v>
      </c>
    </row>
    <row r="33">
      <c r="A33" s="13" t="s">
        <v>88</v>
      </c>
      <c r="B33" s="14"/>
      <c r="C33" s="14"/>
      <c r="D33" s="15">
        <f>407.15</f>
        <v>407.15</v>
      </c>
      <c r="E33" s="14"/>
      <c r="F33" s="15">
        <f t="shared" si="3"/>
        <v>407.15</v>
      </c>
    </row>
    <row r="34">
      <c r="A34" s="13" t="s">
        <v>89</v>
      </c>
      <c r="B34" s="14"/>
      <c r="C34" s="14"/>
      <c r="D34" s="15">
        <f>2721.09</f>
        <v>2721.09</v>
      </c>
      <c r="E34" s="14"/>
      <c r="F34" s="15">
        <f t="shared" si="3"/>
        <v>2721.09</v>
      </c>
    </row>
    <row r="35">
      <c r="A35" s="13" t="s">
        <v>90</v>
      </c>
      <c r="B35" s="14"/>
      <c r="C35" s="14"/>
      <c r="D35" s="15">
        <f>1252.53</f>
        <v>1252.53</v>
      </c>
      <c r="E35" s="14"/>
      <c r="F35" s="15">
        <f t="shared" si="3"/>
        <v>1252.53</v>
      </c>
    </row>
    <row r="36">
      <c r="A36" s="13" t="s">
        <v>348</v>
      </c>
      <c r="B36" s="14"/>
      <c r="C36" s="14"/>
      <c r="D36" s="15">
        <f>1931.61</f>
        <v>1931.61</v>
      </c>
      <c r="E36" s="14"/>
      <c r="F36" s="15">
        <f t="shared" si="3"/>
        <v>1931.61</v>
      </c>
    </row>
    <row r="37">
      <c r="A37" s="13" t="s">
        <v>349</v>
      </c>
      <c r="B37" s="14"/>
      <c r="C37" s="14"/>
      <c r="D37" s="15">
        <f>2004.69</f>
        <v>2004.69</v>
      </c>
      <c r="E37" s="14"/>
      <c r="F37" s="15">
        <f t="shared" si="3"/>
        <v>2004.69</v>
      </c>
    </row>
    <row r="38">
      <c r="A38" s="13" t="s">
        <v>350</v>
      </c>
      <c r="B38" s="14"/>
      <c r="C38" s="14"/>
      <c r="D38" s="15">
        <f>614.3</f>
        <v>614.3</v>
      </c>
      <c r="E38" s="14"/>
      <c r="F38" s="15">
        <f t="shared" si="3"/>
        <v>614.3</v>
      </c>
    </row>
    <row r="39">
      <c r="A39" s="13" t="s">
        <v>91</v>
      </c>
      <c r="B39" s="14"/>
      <c r="C39" s="14"/>
      <c r="D39" s="15">
        <f>1394.82</f>
        <v>1394.82</v>
      </c>
      <c r="E39" s="14"/>
      <c r="F39" s="15">
        <f t="shared" si="3"/>
        <v>1394.82</v>
      </c>
    </row>
    <row r="40">
      <c r="A40" s="13" t="s">
        <v>92</v>
      </c>
      <c r="B40" s="14"/>
      <c r="C40" s="14"/>
      <c r="D40" s="15">
        <f>15342.23</f>
        <v>15342.23</v>
      </c>
      <c r="E40" s="14"/>
      <c r="F40" s="15">
        <f t="shared" si="3"/>
        <v>15342.23</v>
      </c>
    </row>
    <row r="41">
      <c r="A41" s="13" t="s">
        <v>93</v>
      </c>
      <c r="B41" s="14"/>
      <c r="C41" s="14"/>
      <c r="D41" s="15">
        <f>234.81</f>
        <v>234.81</v>
      </c>
      <c r="E41" s="14"/>
      <c r="F41" s="15">
        <f t="shared" si="3"/>
        <v>234.81</v>
      </c>
    </row>
    <row r="42">
      <c r="A42" s="13" t="s">
        <v>94</v>
      </c>
      <c r="B42" s="17">
        <f t="shared" ref="B42:E42" si="6">(((((((((((((((B26)+(B27))+(B28))+(B29))+(B30))+(B31))+(B32))+(B33))+(B34))+(B35))+(B36))+(B37))+(B38))+(B39))+(B40))+(B41)</f>
        <v>0</v>
      </c>
      <c r="C42" s="17">
        <f t="shared" si="6"/>
        <v>0</v>
      </c>
      <c r="D42" s="17">
        <f t="shared" si="6"/>
        <v>34961.13</v>
      </c>
      <c r="E42" s="17">
        <f t="shared" si="6"/>
        <v>0</v>
      </c>
      <c r="F42" s="17">
        <f t="shared" si="3"/>
        <v>34961.13</v>
      </c>
    </row>
    <row r="43">
      <c r="A43" s="13" t="s">
        <v>95</v>
      </c>
      <c r="B43" s="17">
        <f t="shared" ref="B43:E43" si="7">(B25)+(B42)</f>
        <v>0</v>
      </c>
      <c r="C43" s="17">
        <f t="shared" si="7"/>
        <v>0</v>
      </c>
      <c r="D43" s="17">
        <f t="shared" si="7"/>
        <v>34961.13</v>
      </c>
      <c r="E43" s="17">
        <f t="shared" si="7"/>
        <v>0</v>
      </c>
      <c r="F43" s="17">
        <f t="shared" si="3"/>
        <v>34961.13</v>
      </c>
    </row>
    <row r="44">
      <c r="A44" s="13" t="s">
        <v>97</v>
      </c>
      <c r="B44" s="14"/>
      <c r="C44" s="14"/>
      <c r="D44" s="14"/>
      <c r="E44" s="14"/>
      <c r="F44" s="15">
        <f t="shared" si="3"/>
        <v>0</v>
      </c>
    </row>
    <row r="45">
      <c r="A45" s="13" t="s">
        <v>98</v>
      </c>
      <c r="B45" s="14"/>
      <c r="C45" s="14"/>
      <c r="D45" s="14"/>
      <c r="E45" s="14"/>
      <c r="F45" s="15">
        <f t="shared" si="3"/>
        <v>0</v>
      </c>
    </row>
    <row r="46">
      <c r="A46" s="13" t="s">
        <v>99</v>
      </c>
      <c r="B46" s="15">
        <f>5723.17</f>
        <v>5723.17</v>
      </c>
      <c r="C46" s="15">
        <f>855.19</f>
        <v>855.19</v>
      </c>
      <c r="D46" s="14"/>
      <c r="E46" s="14"/>
      <c r="F46" s="15">
        <f t="shared" si="3"/>
        <v>6578.36</v>
      </c>
    </row>
    <row r="47">
      <c r="A47" s="13" t="s">
        <v>101</v>
      </c>
      <c r="B47" s="14"/>
      <c r="C47" s="14"/>
      <c r="D47" s="14"/>
      <c r="E47" s="14"/>
      <c r="F47" s="15">
        <f t="shared" si="3"/>
        <v>0</v>
      </c>
    </row>
    <row r="48">
      <c r="A48" s="13" t="s">
        <v>102</v>
      </c>
      <c r="B48" s="14"/>
      <c r="C48" s="15">
        <f>497.45</f>
        <v>497.45</v>
      </c>
      <c r="D48" s="14"/>
      <c r="E48" s="14"/>
      <c r="F48" s="15">
        <f t="shared" si="3"/>
        <v>497.45</v>
      </c>
    </row>
    <row r="49">
      <c r="A49" s="13" t="s">
        <v>104</v>
      </c>
      <c r="B49" s="14"/>
      <c r="C49" s="15">
        <f>74.52</f>
        <v>74.52</v>
      </c>
      <c r="D49" s="14"/>
      <c r="E49" s="14"/>
      <c r="F49" s="15">
        <f t="shared" si="3"/>
        <v>74.52</v>
      </c>
    </row>
    <row r="50">
      <c r="A50" s="13" t="s">
        <v>105</v>
      </c>
      <c r="B50" s="17">
        <f t="shared" ref="B50:E50" si="8">((B47)+(B48))+(B49)</f>
        <v>0</v>
      </c>
      <c r="C50" s="17">
        <f t="shared" si="8"/>
        <v>571.97</v>
      </c>
      <c r="D50" s="17">
        <f t="shared" si="8"/>
        <v>0</v>
      </c>
      <c r="E50" s="17">
        <f t="shared" si="8"/>
        <v>0</v>
      </c>
      <c r="F50" s="17">
        <f t="shared" si="3"/>
        <v>571.97</v>
      </c>
    </row>
    <row r="51">
      <c r="A51" s="13" t="s">
        <v>106</v>
      </c>
      <c r="B51" s="14"/>
      <c r="C51" s="15">
        <f>55</f>
        <v>55</v>
      </c>
      <c r="D51" s="14"/>
      <c r="E51" s="14"/>
      <c r="F51" s="15">
        <f t="shared" si="3"/>
        <v>55</v>
      </c>
    </row>
    <row r="52">
      <c r="A52" s="13" t="s">
        <v>107</v>
      </c>
      <c r="B52" s="14"/>
      <c r="C52" s="15">
        <f>4378.09</f>
        <v>4378.09</v>
      </c>
      <c r="D52" s="14"/>
      <c r="E52" s="14"/>
      <c r="F52" s="15">
        <f t="shared" si="3"/>
        <v>4378.09</v>
      </c>
    </row>
    <row r="53">
      <c r="A53" s="13" t="s">
        <v>108</v>
      </c>
      <c r="B53" s="14"/>
      <c r="C53" s="15">
        <f>506.25</f>
        <v>506.25</v>
      </c>
      <c r="D53" s="14"/>
      <c r="E53" s="14"/>
      <c r="F53" s="15">
        <f t="shared" si="3"/>
        <v>506.25</v>
      </c>
    </row>
    <row r="54">
      <c r="A54" s="13" t="s">
        <v>110</v>
      </c>
      <c r="B54" s="17">
        <f t="shared" ref="B54:E54" si="9">(((((B45)+(B46))+(B50))+(B51))+(B52))+(B53)</f>
        <v>5723.17</v>
      </c>
      <c r="C54" s="17">
        <f t="shared" si="9"/>
        <v>6366.5</v>
      </c>
      <c r="D54" s="17">
        <f t="shared" si="9"/>
        <v>0</v>
      </c>
      <c r="E54" s="17">
        <f t="shared" si="9"/>
        <v>0</v>
      </c>
      <c r="F54" s="17">
        <f t="shared" si="3"/>
        <v>12089.67</v>
      </c>
    </row>
    <row r="55">
      <c r="A55" s="13" t="s">
        <v>111</v>
      </c>
      <c r="B55" s="14"/>
      <c r="C55" s="15">
        <f>27.93</f>
        <v>27.93</v>
      </c>
      <c r="D55" s="14"/>
      <c r="E55" s="14"/>
      <c r="F55" s="15">
        <f t="shared" si="3"/>
        <v>27.93</v>
      </c>
    </row>
    <row r="56">
      <c r="A56" s="13" t="s">
        <v>112</v>
      </c>
      <c r="B56" s="17">
        <f t="shared" ref="B56:E56" si="10">((B44)+(B54))+(B55)</f>
        <v>5723.17</v>
      </c>
      <c r="C56" s="17">
        <f t="shared" si="10"/>
        <v>6394.43</v>
      </c>
      <c r="D56" s="17">
        <f t="shared" si="10"/>
        <v>0</v>
      </c>
      <c r="E56" s="17">
        <f t="shared" si="10"/>
        <v>0</v>
      </c>
      <c r="F56" s="17">
        <f t="shared" si="3"/>
        <v>12117.6</v>
      </c>
    </row>
    <row r="57">
      <c r="A57" s="13" t="s">
        <v>113</v>
      </c>
      <c r="B57" s="17">
        <f t="shared" ref="B57:E57" si="11">((B24)+(B43))+(B56)</f>
        <v>5723.17</v>
      </c>
      <c r="C57" s="17">
        <f t="shared" si="11"/>
        <v>6394.43</v>
      </c>
      <c r="D57" s="17">
        <f t="shared" si="11"/>
        <v>34961.13</v>
      </c>
      <c r="E57" s="17">
        <f t="shared" si="11"/>
        <v>0</v>
      </c>
      <c r="F57" s="17">
        <f t="shared" si="3"/>
        <v>47078.73</v>
      </c>
    </row>
    <row r="58">
      <c r="A58" s="13" t="s">
        <v>114</v>
      </c>
      <c r="B58" s="17">
        <f t="shared" ref="B58:E58" si="12">((B22)+(B23))+(B57)</f>
        <v>5723.17</v>
      </c>
      <c r="C58" s="17">
        <f t="shared" si="12"/>
        <v>6394.43</v>
      </c>
      <c r="D58" s="17">
        <f t="shared" si="12"/>
        <v>34961.13</v>
      </c>
      <c r="E58" s="17">
        <f t="shared" si="12"/>
        <v>5229.58</v>
      </c>
      <c r="F58" s="17">
        <f t="shared" si="3"/>
        <v>52308.31</v>
      </c>
    </row>
    <row r="59">
      <c r="A59" s="13" t="s">
        <v>115</v>
      </c>
      <c r="B59" s="17">
        <f t="shared" ref="B59:E59" si="13">(B8)-(B58)</f>
        <v>-5723.17</v>
      </c>
      <c r="C59" s="17">
        <f t="shared" si="13"/>
        <v>-6394.43</v>
      </c>
      <c r="D59" s="17">
        <f t="shared" si="13"/>
        <v>-34961.13</v>
      </c>
      <c r="E59" s="17">
        <f t="shared" si="13"/>
        <v>-5229.58</v>
      </c>
      <c r="F59" s="17">
        <f t="shared" si="3"/>
        <v>-52308.31</v>
      </c>
    </row>
    <row r="60">
      <c r="A60" s="13" t="s">
        <v>4</v>
      </c>
      <c r="B60" s="17">
        <f t="shared" ref="B60:E60" si="14">(B59)+(0)</f>
        <v>-5723.17</v>
      </c>
      <c r="C60" s="17">
        <f t="shared" si="14"/>
        <v>-6394.43</v>
      </c>
      <c r="D60" s="17">
        <f t="shared" si="14"/>
        <v>-34961.13</v>
      </c>
      <c r="E60" s="17">
        <f t="shared" si="14"/>
        <v>-5229.58</v>
      </c>
      <c r="F60" s="17">
        <f t="shared" si="3"/>
        <v>-52308.31</v>
      </c>
    </row>
    <row r="61">
      <c r="A61" s="13"/>
      <c r="B61" s="14"/>
      <c r="C61" s="14"/>
      <c r="D61" s="14"/>
      <c r="E61" s="14"/>
      <c r="F61" s="14"/>
    </row>
    <row r="62"/>
    <row r="63"/>
    <row r="64">
      <c r="A64" s="19" t="s">
        <v>369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298</v>
      </c>
    </row>
    <row r="3">
      <c r="A3" s="9" t="s">
        <v>370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41</v>
      </c>
      <c r="B7" s="14"/>
    </row>
    <row r="8">
      <c r="A8" s="13" t="s">
        <v>43</v>
      </c>
      <c r="B8" s="15">
        <f>67385.59</f>
        <v>67385.59</v>
      </c>
    </row>
    <row r="9">
      <c r="A9" s="13" t="s">
        <v>46</v>
      </c>
      <c r="B9" s="15">
        <f>2107.32</f>
        <v>2107.32</v>
      </c>
    </row>
    <row r="10">
      <c r="A10" s="13" t="s">
        <v>47</v>
      </c>
      <c r="B10" s="15">
        <f>650.79</f>
        <v>650.79</v>
      </c>
    </row>
    <row r="11">
      <c r="A11" s="13" t="s">
        <v>48</v>
      </c>
      <c r="B11" s="17">
        <f>((B8)+(B9))+(B10)</f>
        <v>70143.7</v>
      </c>
    </row>
    <row r="12">
      <c r="A12" s="13" t="s">
        <v>49</v>
      </c>
      <c r="B12" s="17">
        <f>(B7)+(B11)</f>
        <v>70143.7</v>
      </c>
    </row>
    <row r="13">
      <c r="A13" s="13" t="s">
        <v>2</v>
      </c>
      <c r="B13" s="17">
        <f>B12</f>
        <v>70143.7</v>
      </c>
    </row>
    <row r="14">
      <c r="A14" s="13" t="s">
        <v>50</v>
      </c>
      <c r="B14" s="17">
        <f>(B13)-(0)</f>
        <v>70143.7</v>
      </c>
    </row>
    <row r="15">
      <c r="A15" s="13" t="s">
        <v>51</v>
      </c>
      <c r="B15" s="14"/>
    </row>
    <row r="16">
      <c r="A16" s="13" t="s">
        <v>52</v>
      </c>
      <c r="B16" s="14"/>
    </row>
    <row r="17">
      <c r="A17" s="13" t="s">
        <v>53</v>
      </c>
      <c r="B17" s="14"/>
    </row>
    <row r="18">
      <c r="A18" s="13" t="s">
        <v>55</v>
      </c>
      <c r="B18" s="15">
        <f>225</f>
        <v>225</v>
      </c>
    </row>
    <row r="19">
      <c r="A19" s="13" t="s">
        <v>56</v>
      </c>
      <c r="B19" s="17">
        <f>(B17)+(B18)</f>
        <v>225</v>
      </c>
    </row>
    <row r="20">
      <c r="A20" s="13" t="s">
        <v>57</v>
      </c>
      <c r="B20" s="15">
        <f>570</f>
        <v>570</v>
      </c>
    </row>
    <row r="21">
      <c r="A21" s="13" t="s">
        <v>60</v>
      </c>
      <c r="B21" s="15">
        <f>50</f>
        <v>50</v>
      </c>
    </row>
    <row r="22">
      <c r="A22" s="13" t="s">
        <v>61</v>
      </c>
      <c r="B22" s="15">
        <f>3328.32</f>
        <v>3328.32</v>
      </c>
    </row>
    <row r="23">
      <c r="A23" s="13" t="s">
        <v>62</v>
      </c>
      <c r="B23" s="15">
        <f>1019.38</f>
        <v>1019.38</v>
      </c>
    </row>
    <row r="24">
      <c r="A24" s="13" t="s">
        <v>66</v>
      </c>
      <c r="B24" s="15">
        <f>99</f>
        <v>99</v>
      </c>
    </row>
    <row r="25">
      <c r="A25" s="13" t="s">
        <v>67</v>
      </c>
      <c r="B25" s="15">
        <f>100</f>
        <v>100</v>
      </c>
    </row>
    <row r="26">
      <c r="A26" s="13" t="s">
        <v>68</v>
      </c>
      <c r="B26" s="15">
        <f>48</f>
        <v>48</v>
      </c>
    </row>
    <row r="27">
      <c r="A27" s="13" t="s">
        <v>73</v>
      </c>
      <c r="B27" s="15">
        <f>85</f>
        <v>85</v>
      </c>
    </row>
    <row r="28">
      <c r="A28" s="13" t="s">
        <v>74</v>
      </c>
      <c r="B28" s="17">
        <f>(((((((((B16)+(B19))+(B20))+(B21))+(B22))+(B23))+(B24))+(B25))+(B26))+(B27)</f>
        <v>5524.7</v>
      </c>
    </row>
    <row r="29">
      <c r="A29" s="13" t="s">
        <v>76</v>
      </c>
      <c r="B29" s="14"/>
    </row>
    <row r="30">
      <c r="A30" s="13" t="s">
        <v>77</v>
      </c>
      <c r="B30" s="14"/>
    </row>
    <row r="31">
      <c r="A31" s="13" t="s">
        <v>78</v>
      </c>
      <c r="B31" s="14"/>
    </row>
    <row r="32">
      <c r="A32" s="13" t="s">
        <v>82</v>
      </c>
      <c r="B32" s="15">
        <f t="shared" ref="B32:B33" si="1">476.22</f>
        <v>476.22</v>
      </c>
    </row>
    <row r="33">
      <c r="A33" s="13" t="s">
        <v>83</v>
      </c>
      <c r="B33" s="15">
        <f t="shared" si="1"/>
        <v>476.22</v>
      </c>
    </row>
    <row r="34">
      <c r="A34" s="13" t="s">
        <v>84</v>
      </c>
      <c r="B34" s="15">
        <f>2108.12</f>
        <v>2108.12</v>
      </c>
    </row>
    <row r="35">
      <c r="A35" s="13" t="s">
        <v>86</v>
      </c>
      <c r="B35" s="15">
        <f>1195.13</f>
        <v>1195.13</v>
      </c>
    </row>
    <row r="36">
      <c r="A36" s="13" t="s">
        <v>87</v>
      </c>
      <c r="B36" s="15">
        <f>1137.97</f>
        <v>1137.97</v>
      </c>
    </row>
    <row r="37">
      <c r="A37" s="13" t="s">
        <v>88</v>
      </c>
      <c r="B37" s="15">
        <f>447.79</f>
        <v>447.79</v>
      </c>
    </row>
    <row r="38">
      <c r="A38" s="13" t="s">
        <v>89</v>
      </c>
      <c r="B38" s="15">
        <f>3452.77</f>
        <v>3452.77</v>
      </c>
    </row>
    <row r="39">
      <c r="A39" s="13" t="s">
        <v>90</v>
      </c>
      <c r="B39" s="15">
        <f>1609.97</f>
        <v>1609.97</v>
      </c>
    </row>
    <row r="40">
      <c r="A40" s="13" t="s">
        <v>348</v>
      </c>
      <c r="B40" s="15">
        <f>196.17</f>
        <v>196.17</v>
      </c>
    </row>
    <row r="41">
      <c r="A41" s="13" t="s">
        <v>349</v>
      </c>
      <c r="B41" s="15">
        <f>1016.85</f>
        <v>1016.85</v>
      </c>
    </row>
    <row r="42">
      <c r="A42" s="13" t="s">
        <v>91</v>
      </c>
      <c r="B42" s="15">
        <f>1270.96</f>
        <v>1270.96</v>
      </c>
    </row>
    <row r="43">
      <c r="A43" s="13" t="s">
        <v>92</v>
      </c>
      <c r="B43" s="15">
        <f>3403.04</f>
        <v>3403.04</v>
      </c>
    </row>
    <row r="44">
      <c r="A44" s="13" t="s">
        <v>93</v>
      </c>
      <c r="B44" s="15">
        <f>1438.82</f>
        <v>1438.82</v>
      </c>
    </row>
    <row r="45">
      <c r="A45" s="13" t="s">
        <v>94</v>
      </c>
      <c r="B45" s="17">
        <f>(((((((((((((B31)+(B32))+(B33))+(B34))+(B35))+(B36))+(B37))+(B38))+(B39))+(B40))+(B41))+(B42))+(B43))+(B44)</f>
        <v>18230.03</v>
      </c>
    </row>
    <row r="46">
      <c r="A46" s="13" t="s">
        <v>95</v>
      </c>
      <c r="B46" s="17">
        <f>(B30)+(B45)</f>
        <v>18230.03</v>
      </c>
    </row>
    <row r="47">
      <c r="A47" s="13" t="s">
        <v>97</v>
      </c>
      <c r="B47" s="14"/>
    </row>
    <row r="48">
      <c r="A48" s="13" t="s">
        <v>98</v>
      </c>
      <c r="B48" s="14"/>
    </row>
    <row r="49">
      <c r="A49" s="13" t="s">
        <v>99</v>
      </c>
      <c r="B49" s="15">
        <f>13031.36</f>
        <v>13031.36</v>
      </c>
    </row>
    <row r="50">
      <c r="A50" s="13" t="s">
        <v>101</v>
      </c>
      <c r="B50" s="14"/>
    </row>
    <row r="51">
      <c r="A51" s="13" t="s">
        <v>102</v>
      </c>
      <c r="B51" s="15">
        <f>2000</f>
        <v>2000</v>
      </c>
    </row>
    <row r="52">
      <c r="A52" s="13" t="s">
        <v>103</v>
      </c>
      <c r="B52" s="15">
        <f>500</f>
        <v>500</v>
      </c>
    </row>
    <row r="53">
      <c r="A53" s="13" t="s">
        <v>104</v>
      </c>
      <c r="B53" s="15">
        <f>176.99</f>
        <v>176.99</v>
      </c>
    </row>
    <row r="54">
      <c r="A54" s="13" t="s">
        <v>105</v>
      </c>
      <c r="B54" s="17">
        <f>(((B50)+(B51))+(B52))+(B53)</f>
        <v>2676.99</v>
      </c>
    </row>
    <row r="55">
      <c r="A55" s="13" t="s">
        <v>106</v>
      </c>
      <c r="B55" s="15">
        <f>426.25</f>
        <v>426.25</v>
      </c>
    </row>
    <row r="56">
      <c r="A56" s="13" t="s">
        <v>107</v>
      </c>
      <c r="B56" s="15">
        <f>3476.25</f>
        <v>3476.25</v>
      </c>
    </row>
    <row r="57">
      <c r="A57" s="13" t="s">
        <v>108</v>
      </c>
      <c r="B57" s="15">
        <f>753.75</f>
        <v>753.75</v>
      </c>
    </row>
    <row r="58">
      <c r="A58" s="13" t="s">
        <v>110</v>
      </c>
      <c r="B58" s="17">
        <f>(((((B48)+(B49))+(B54))+(B55))+(B56))+(B57)</f>
        <v>20364.6</v>
      </c>
    </row>
    <row r="59">
      <c r="A59" s="13" t="s">
        <v>112</v>
      </c>
      <c r="B59" s="17">
        <f>(B47)+(B58)</f>
        <v>20364.6</v>
      </c>
    </row>
    <row r="60">
      <c r="A60" s="13" t="s">
        <v>113</v>
      </c>
      <c r="B60" s="17">
        <f>((B29)+(B46))+(B59)</f>
        <v>38594.63</v>
      </c>
    </row>
    <row r="61">
      <c r="A61" s="13" t="s">
        <v>114</v>
      </c>
      <c r="B61" s="17">
        <f>(B28)+(B60)</f>
        <v>44119.33</v>
      </c>
    </row>
    <row r="62">
      <c r="A62" s="13" t="s">
        <v>115</v>
      </c>
      <c r="B62" s="17">
        <f>(B14)-(B61)</f>
        <v>26024.37</v>
      </c>
    </row>
    <row r="63">
      <c r="A63" s="13" t="s">
        <v>4</v>
      </c>
      <c r="B63" s="17">
        <f>(B62)+(0)</f>
        <v>26024.37</v>
      </c>
    </row>
    <row r="64">
      <c r="A64" s="13"/>
      <c r="B64" s="14"/>
    </row>
    <row r="65"/>
    <row r="66"/>
    <row r="67">
      <c r="A67" s="19" t="s">
        <v>371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126</v>
      </c>
    </row>
    <row r="3">
      <c r="A3" s="9" t="s">
        <v>324</v>
      </c>
    </row>
    <row r="5">
      <c r="A5" s="10"/>
      <c r="B5" s="11" t="s">
        <v>9</v>
      </c>
    </row>
    <row r="6">
      <c r="A6" s="13" t="s">
        <v>129</v>
      </c>
      <c r="B6" s="14"/>
    </row>
    <row r="7">
      <c r="A7" s="13" t="s">
        <v>130</v>
      </c>
      <c r="B7" s="14"/>
    </row>
    <row r="8">
      <c r="A8" s="13" t="s">
        <v>131</v>
      </c>
      <c r="B8" s="14"/>
    </row>
    <row r="9">
      <c r="A9" s="13" t="s">
        <v>132</v>
      </c>
      <c r="B9" s="14"/>
    </row>
    <row r="10">
      <c r="A10" s="13" t="s">
        <v>133</v>
      </c>
      <c r="B10" s="15">
        <f>165000</f>
        <v>165000</v>
      </c>
    </row>
    <row r="11">
      <c r="A11" s="13" t="s">
        <v>134</v>
      </c>
      <c r="B11" s="15">
        <f>125000</f>
        <v>125000</v>
      </c>
    </row>
    <row r="12">
      <c r="A12" s="13" t="s">
        <v>135</v>
      </c>
      <c r="B12" s="15">
        <f>64094.49</f>
        <v>64094.49</v>
      </c>
    </row>
    <row r="13">
      <c r="A13" s="13" t="s">
        <v>137</v>
      </c>
      <c r="B13" s="17">
        <f>(((B9)+(B10))+(B11))+(B12)</f>
        <v>354094.49</v>
      </c>
    </row>
    <row r="14">
      <c r="A14" s="13" t="s">
        <v>138</v>
      </c>
      <c r="B14" s="14"/>
    </row>
    <row r="15">
      <c r="A15" s="13" t="s">
        <v>139</v>
      </c>
      <c r="B15" s="15">
        <f>291828.7</f>
        <v>291828.7</v>
      </c>
    </row>
    <row r="16">
      <c r="A16" s="13" t="s">
        <v>140</v>
      </c>
      <c r="B16" s="15">
        <f>189059.95</f>
        <v>189059.95</v>
      </c>
    </row>
    <row r="17">
      <c r="A17" s="13" t="s">
        <v>141</v>
      </c>
      <c r="B17" s="15">
        <f>98244.87</f>
        <v>98244.87</v>
      </c>
    </row>
    <row r="18">
      <c r="A18" s="13" t="s">
        <v>143</v>
      </c>
      <c r="B18" s="17">
        <f>(((B14)+(B15))+(B16))+(B17)</f>
        <v>579133.52</v>
      </c>
    </row>
    <row r="19">
      <c r="A19" s="13" t="s">
        <v>144</v>
      </c>
      <c r="B19" s="17">
        <f>(B13)+(B18)</f>
        <v>933228.01</v>
      </c>
    </row>
    <row r="20">
      <c r="A20" s="13" t="s">
        <v>145</v>
      </c>
      <c r="B20" s="14"/>
    </row>
    <row r="21">
      <c r="A21" s="13" t="s">
        <v>146</v>
      </c>
      <c r="B21" s="15">
        <f>70143.7</f>
        <v>70143.7</v>
      </c>
    </row>
    <row r="22">
      <c r="A22" s="13" t="s">
        <v>147</v>
      </c>
      <c r="B22" s="17">
        <f>B21</f>
        <v>70143.7</v>
      </c>
    </row>
    <row r="23">
      <c r="A23" s="13" t="s">
        <v>148</v>
      </c>
      <c r="B23" s="14"/>
    </row>
    <row r="24">
      <c r="A24" s="13" t="s">
        <v>149</v>
      </c>
      <c r="B24" s="15">
        <f t="shared" ref="B24:B30" si="1">0</f>
        <v>0</v>
      </c>
    </row>
    <row r="25">
      <c r="A25" s="13" t="s">
        <v>150</v>
      </c>
      <c r="B25" s="15">
        <f t="shared" si="1"/>
        <v>0</v>
      </c>
    </row>
    <row r="26">
      <c r="A26" s="13" t="s">
        <v>151</v>
      </c>
      <c r="B26" s="15">
        <f t="shared" si="1"/>
        <v>0</v>
      </c>
    </row>
    <row r="27">
      <c r="A27" s="13" t="s">
        <v>153</v>
      </c>
      <c r="B27" s="15">
        <f t="shared" si="1"/>
        <v>0</v>
      </c>
    </row>
    <row r="28">
      <c r="A28" s="13" t="s">
        <v>154</v>
      </c>
      <c r="B28" s="15">
        <f t="shared" si="1"/>
        <v>0</v>
      </c>
    </row>
    <row r="29">
      <c r="A29" s="13" t="s">
        <v>155</v>
      </c>
      <c r="B29" s="15">
        <f t="shared" si="1"/>
        <v>0</v>
      </c>
    </row>
    <row r="30">
      <c r="A30" s="13" t="s">
        <v>156</v>
      </c>
      <c r="B30" s="15">
        <f t="shared" si="1"/>
        <v>0</v>
      </c>
    </row>
    <row r="31">
      <c r="A31" s="13" t="s">
        <v>157</v>
      </c>
      <c r="B31" s="17">
        <f>((((((B24)+(B25))+(B26))+(B27))+(B28))+(B29))+(B30)</f>
        <v>0</v>
      </c>
    </row>
    <row r="32">
      <c r="A32" s="13" t="s">
        <v>158</v>
      </c>
      <c r="B32" s="17">
        <f>((B19)+(B22))+(B31)</f>
        <v>1003371.71</v>
      </c>
    </row>
    <row r="33">
      <c r="A33" s="13" t="s">
        <v>159</v>
      </c>
      <c r="B33" s="14"/>
    </row>
    <row r="34">
      <c r="A34" s="13" t="s">
        <v>160</v>
      </c>
      <c r="B34" s="15">
        <f>162750</f>
        <v>162750</v>
      </c>
    </row>
    <row r="35">
      <c r="A35" s="13" t="s">
        <v>161</v>
      </c>
      <c r="B35" s="15">
        <f>475000</f>
        <v>475000</v>
      </c>
    </row>
    <row r="36">
      <c r="A36" s="13" t="s">
        <v>162</v>
      </c>
      <c r="B36" s="15">
        <f>110000</f>
        <v>110000</v>
      </c>
    </row>
    <row r="37">
      <c r="A37" s="13" t="s">
        <v>163</v>
      </c>
      <c r="B37" s="17">
        <f>((B34)+(B35))+(B36)</f>
        <v>747750</v>
      </c>
    </row>
    <row r="38">
      <c r="A38" s="13" t="s">
        <v>164</v>
      </c>
      <c r="B38" s="14"/>
    </row>
    <row r="39">
      <c r="A39" s="13" t="s">
        <v>165</v>
      </c>
      <c r="B39" s="15">
        <f>0</f>
        <v>0</v>
      </c>
    </row>
    <row r="40">
      <c r="A40" s="13" t="s">
        <v>166</v>
      </c>
      <c r="B40" s="17">
        <f>B39</f>
        <v>0</v>
      </c>
    </row>
    <row r="41">
      <c r="A41" s="13" t="s">
        <v>167</v>
      </c>
      <c r="B41" s="17">
        <f>((B32)+(B37))+(B40)</f>
        <v>1751121.71</v>
      </c>
    </row>
    <row r="42">
      <c r="A42" s="13" t="s">
        <v>168</v>
      </c>
      <c r="B42" s="14"/>
    </row>
    <row r="43">
      <c r="A43" s="13" t="s">
        <v>169</v>
      </c>
      <c r="B43" s="14"/>
    </row>
    <row r="44">
      <c r="A44" s="13" t="s">
        <v>170</v>
      </c>
      <c r="B44" s="14"/>
    </row>
    <row r="45">
      <c r="A45" s="13" t="s">
        <v>171</v>
      </c>
      <c r="B45" s="14"/>
    </row>
    <row r="46">
      <c r="A46" s="13" t="s">
        <v>172</v>
      </c>
      <c r="B46" s="15">
        <f>17156.34</f>
        <v>17156.34</v>
      </c>
    </row>
    <row r="47">
      <c r="A47" s="13" t="s">
        <v>173</v>
      </c>
      <c r="B47" s="17">
        <f>B46</f>
        <v>17156.34</v>
      </c>
    </row>
    <row r="48">
      <c r="A48" s="13" t="s">
        <v>174</v>
      </c>
      <c r="B48" s="14"/>
    </row>
    <row r="49">
      <c r="A49" s="13" t="s">
        <v>175</v>
      </c>
      <c r="B49" s="15">
        <f>0</f>
        <v>0</v>
      </c>
    </row>
    <row r="50">
      <c r="A50" s="13" t="s">
        <v>177</v>
      </c>
      <c r="B50" s="17">
        <f>B49</f>
        <v>0</v>
      </c>
    </row>
    <row r="51">
      <c r="A51" s="13" t="s">
        <v>178</v>
      </c>
      <c r="B51" s="14"/>
    </row>
    <row r="52">
      <c r="A52" s="13" t="s">
        <v>179</v>
      </c>
      <c r="B52" s="15">
        <f t="shared" ref="B52:B54" si="2">0</f>
        <v>0</v>
      </c>
    </row>
    <row r="53">
      <c r="A53" s="13" t="s">
        <v>180</v>
      </c>
      <c r="B53" s="15">
        <f t="shared" si="2"/>
        <v>0</v>
      </c>
    </row>
    <row r="54">
      <c r="A54" s="13" t="s">
        <v>181</v>
      </c>
      <c r="B54" s="15">
        <f t="shared" si="2"/>
        <v>0</v>
      </c>
    </row>
    <row r="55">
      <c r="A55" s="13" t="s">
        <v>182</v>
      </c>
      <c r="B55" s="17">
        <f>((B52)+(B53))+(B54)</f>
        <v>0</v>
      </c>
    </row>
    <row r="56">
      <c r="A56" s="13" t="s">
        <v>183</v>
      </c>
      <c r="B56" s="17">
        <f>((B47)+(B50))+(B55)</f>
        <v>17156.34</v>
      </c>
    </row>
    <row r="57">
      <c r="A57" s="13" t="s">
        <v>184</v>
      </c>
      <c r="B57" s="17">
        <f>B56</f>
        <v>17156.34</v>
      </c>
    </row>
    <row r="58">
      <c r="A58" s="13" t="s">
        <v>185</v>
      </c>
      <c r="B58" s="14"/>
    </row>
    <row r="59">
      <c r="A59" s="13" t="s">
        <v>186</v>
      </c>
      <c r="B59" s="15">
        <f>0</f>
        <v>0</v>
      </c>
    </row>
    <row r="60">
      <c r="A60" s="13" t="s">
        <v>187</v>
      </c>
      <c r="B60" s="15">
        <f>1654366.5</f>
        <v>1654366.5</v>
      </c>
    </row>
    <row r="61">
      <c r="A61" s="13" t="s">
        <v>188</v>
      </c>
      <c r="B61" s="15">
        <f>79598.87</f>
        <v>79598.87</v>
      </c>
    </row>
    <row r="62">
      <c r="A62" s="13" t="s">
        <v>189</v>
      </c>
      <c r="B62" s="17">
        <f>((B59)+(B60))+(B61)</f>
        <v>1733965.37</v>
      </c>
    </row>
    <row r="63">
      <c r="A63" s="13" t="s">
        <v>190</v>
      </c>
      <c r="B63" s="17">
        <f>(B57)+(B62)</f>
        <v>1751121.71</v>
      </c>
    </row>
    <row r="64">
      <c r="A64" s="13"/>
      <c r="B64" s="14"/>
    </row>
    <row r="65"/>
    <row r="66"/>
    <row r="67">
      <c r="A67" s="19" t="s">
        <v>372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298</v>
      </c>
    </row>
    <row r="3">
      <c r="A3" s="9" t="s">
        <v>370</v>
      </c>
    </row>
    <row r="5">
      <c r="A5" s="10"/>
      <c r="B5" s="11" t="s">
        <v>367</v>
      </c>
      <c r="C5" s="11" t="s">
        <v>368</v>
      </c>
      <c r="D5" s="11" t="s">
        <v>121</v>
      </c>
      <c r="E5" s="11" t="s">
        <v>123</v>
      </c>
      <c r="F5" s="11" t="s">
        <v>124</v>
      </c>
    </row>
    <row r="6">
      <c r="A6" s="13" t="s">
        <v>14</v>
      </c>
      <c r="B6" s="14"/>
      <c r="C6" s="14"/>
      <c r="D6" s="14"/>
      <c r="E6" s="14"/>
      <c r="F6" s="14"/>
    </row>
    <row r="7">
      <c r="A7" s="13" t="s">
        <v>41</v>
      </c>
      <c r="B7" s="14"/>
      <c r="C7" s="14"/>
      <c r="D7" s="14"/>
      <c r="E7" s="14"/>
      <c r="F7" s="15">
        <f t="shared" ref="F7:F14" si="1">(((B7)+(C7))+(D7))+(E7)</f>
        <v>0</v>
      </c>
    </row>
    <row r="8">
      <c r="A8" s="13" t="s">
        <v>43</v>
      </c>
      <c r="B8" s="15">
        <f>20726.38</f>
        <v>20726.38</v>
      </c>
      <c r="C8" s="15">
        <f>46659.21</f>
        <v>46659.21</v>
      </c>
      <c r="D8" s="14"/>
      <c r="E8" s="14"/>
      <c r="F8" s="15">
        <f t="shared" si="1"/>
        <v>67385.59</v>
      </c>
    </row>
    <row r="9">
      <c r="A9" s="13" t="s">
        <v>46</v>
      </c>
      <c r="B9" s="15">
        <f>2107.32</f>
        <v>2107.32</v>
      </c>
      <c r="C9" s="14"/>
      <c r="D9" s="14"/>
      <c r="E9" s="14"/>
      <c r="F9" s="15">
        <f t="shared" si="1"/>
        <v>2107.32</v>
      </c>
    </row>
    <row r="10">
      <c r="A10" s="13" t="s">
        <v>47</v>
      </c>
      <c r="B10" s="15">
        <f>650.79</f>
        <v>650.79</v>
      </c>
      <c r="C10" s="14"/>
      <c r="D10" s="14"/>
      <c r="E10" s="14"/>
      <c r="F10" s="15">
        <f t="shared" si="1"/>
        <v>650.79</v>
      </c>
    </row>
    <row r="11">
      <c r="A11" s="13" t="s">
        <v>48</v>
      </c>
      <c r="B11" s="17">
        <f t="shared" ref="B11:E11" si="2">((B8)+(B9))+(B10)</f>
        <v>23484.49</v>
      </c>
      <c r="C11" s="17">
        <f t="shared" si="2"/>
        <v>46659.21</v>
      </c>
      <c r="D11" s="17">
        <f t="shared" si="2"/>
        <v>0</v>
      </c>
      <c r="E11" s="17">
        <f t="shared" si="2"/>
        <v>0</v>
      </c>
      <c r="F11" s="17">
        <f t="shared" si="1"/>
        <v>70143.7</v>
      </c>
    </row>
    <row r="12">
      <c r="A12" s="13" t="s">
        <v>49</v>
      </c>
      <c r="B12" s="17">
        <f t="shared" ref="B12:E12" si="3">(B7)+(B11)</f>
        <v>23484.49</v>
      </c>
      <c r="C12" s="17">
        <f t="shared" si="3"/>
        <v>46659.21</v>
      </c>
      <c r="D12" s="17">
        <f t="shared" si="3"/>
        <v>0</v>
      </c>
      <c r="E12" s="17">
        <f t="shared" si="3"/>
        <v>0</v>
      </c>
      <c r="F12" s="17">
        <f t="shared" si="1"/>
        <v>70143.7</v>
      </c>
    </row>
    <row r="13">
      <c r="A13" s="13" t="s">
        <v>2</v>
      </c>
      <c r="B13" s="17">
        <f t="shared" ref="B13:E13" si="4">B12</f>
        <v>23484.49</v>
      </c>
      <c r="C13" s="17">
        <f t="shared" si="4"/>
        <v>46659.21</v>
      </c>
      <c r="D13" s="17">
        <f t="shared" si="4"/>
        <v>0</v>
      </c>
      <c r="E13" s="17">
        <f t="shared" si="4"/>
        <v>0</v>
      </c>
      <c r="F13" s="17">
        <f t="shared" si="1"/>
        <v>70143.7</v>
      </c>
    </row>
    <row r="14">
      <c r="A14" s="13" t="s">
        <v>50</v>
      </c>
      <c r="B14" s="17">
        <f t="shared" ref="B14:E14" si="5">(B13)-(0)</f>
        <v>23484.49</v>
      </c>
      <c r="C14" s="17">
        <f t="shared" si="5"/>
        <v>46659.21</v>
      </c>
      <c r="D14" s="17">
        <f t="shared" si="5"/>
        <v>0</v>
      </c>
      <c r="E14" s="17">
        <f t="shared" si="5"/>
        <v>0</v>
      </c>
      <c r="F14" s="17">
        <f t="shared" si="1"/>
        <v>70143.7</v>
      </c>
    </row>
    <row r="15">
      <c r="A15" s="13" t="s">
        <v>51</v>
      </c>
      <c r="B15" s="14"/>
      <c r="C15" s="14"/>
      <c r="D15" s="14"/>
      <c r="E15" s="14"/>
      <c r="F15" s="14"/>
    </row>
    <row r="16">
      <c r="A16" s="13" t="s">
        <v>52</v>
      </c>
      <c r="B16" s="14"/>
      <c r="C16" s="14"/>
      <c r="D16" s="14"/>
      <c r="E16" s="14"/>
      <c r="F16" s="15">
        <f t="shared" ref="F16:F63" si="6">(((B16)+(C16))+(D16))+(E16)</f>
        <v>0</v>
      </c>
    </row>
    <row r="17">
      <c r="A17" s="13" t="s">
        <v>53</v>
      </c>
      <c r="B17" s="14"/>
      <c r="C17" s="14"/>
      <c r="D17" s="14"/>
      <c r="E17" s="14"/>
      <c r="F17" s="15">
        <f t="shared" si="6"/>
        <v>0</v>
      </c>
    </row>
    <row r="18">
      <c r="A18" s="13" t="s">
        <v>55</v>
      </c>
      <c r="B18" s="14"/>
      <c r="C18" s="14"/>
      <c r="D18" s="14"/>
      <c r="E18" s="15">
        <f>225</f>
        <v>225</v>
      </c>
      <c r="F18" s="15">
        <f t="shared" si="6"/>
        <v>225</v>
      </c>
    </row>
    <row r="19">
      <c r="A19" s="13" t="s">
        <v>56</v>
      </c>
      <c r="B19" s="17">
        <f t="shared" ref="B19:E19" si="7">(B17)+(B18)</f>
        <v>0</v>
      </c>
      <c r="C19" s="17">
        <f t="shared" si="7"/>
        <v>0</v>
      </c>
      <c r="D19" s="17">
        <f t="shared" si="7"/>
        <v>0</v>
      </c>
      <c r="E19" s="17">
        <f t="shared" si="7"/>
        <v>225</v>
      </c>
      <c r="F19" s="17">
        <f t="shared" si="6"/>
        <v>225</v>
      </c>
    </row>
    <row r="20">
      <c r="A20" s="13" t="s">
        <v>57</v>
      </c>
      <c r="B20" s="14"/>
      <c r="C20" s="14"/>
      <c r="D20" s="14"/>
      <c r="E20" s="15">
        <f>570</f>
        <v>570</v>
      </c>
      <c r="F20" s="15">
        <f t="shared" si="6"/>
        <v>570</v>
      </c>
    </row>
    <row r="21">
      <c r="A21" s="13" t="s">
        <v>60</v>
      </c>
      <c r="B21" s="15">
        <f>50</f>
        <v>50</v>
      </c>
      <c r="C21" s="14"/>
      <c r="D21" s="14"/>
      <c r="E21" s="14"/>
      <c r="F21" s="15">
        <f t="shared" si="6"/>
        <v>50</v>
      </c>
    </row>
    <row r="22">
      <c r="A22" s="13" t="s">
        <v>61</v>
      </c>
      <c r="B22" s="14"/>
      <c r="C22" s="14"/>
      <c r="D22" s="14"/>
      <c r="E22" s="15">
        <f>3328.32</f>
        <v>3328.32</v>
      </c>
      <c r="F22" s="15">
        <f t="shared" si="6"/>
        <v>3328.32</v>
      </c>
    </row>
    <row r="23">
      <c r="A23" s="13" t="s">
        <v>62</v>
      </c>
      <c r="B23" s="14"/>
      <c r="C23" s="14"/>
      <c r="D23" s="14"/>
      <c r="E23" s="15">
        <f>1019.38</f>
        <v>1019.38</v>
      </c>
      <c r="F23" s="15">
        <f t="shared" si="6"/>
        <v>1019.38</v>
      </c>
    </row>
    <row r="24">
      <c r="A24" s="13" t="s">
        <v>66</v>
      </c>
      <c r="B24" s="14"/>
      <c r="C24" s="14"/>
      <c r="D24" s="14"/>
      <c r="E24" s="15">
        <f>99</f>
        <v>99</v>
      </c>
      <c r="F24" s="15">
        <f t="shared" si="6"/>
        <v>99</v>
      </c>
    </row>
    <row r="25">
      <c r="A25" s="13" t="s">
        <v>67</v>
      </c>
      <c r="B25" s="14"/>
      <c r="C25" s="14"/>
      <c r="D25" s="14"/>
      <c r="E25" s="15">
        <f>100</f>
        <v>100</v>
      </c>
      <c r="F25" s="15">
        <f t="shared" si="6"/>
        <v>100</v>
      </c>
    </row>
    <row r="26">
      <c r="A26" s="13" t="s">
        <v>68</v>
      </c>
      <c r="B26" s="14"/>
      <c r="C26" s="14"/>
      <c r="D26" s="14"/>
      <c r="E26" s="15">
        <f>48</f>
        <v>48</v>
      </c>
      <c r="F26" s="15">
        <f t="shared" si="6"/>
        <v>48</v>
      </c>
    </row>
    <row r="27">
      <c r="A27" s="13" t="s">
        <v>73</v>
      </c>
      <c r="B27" s="14"/>
      <c r="C27" s="14"/>
      <c r="D27" s="14"/>
      <c r="E27" s="15">
        <f>85</f>
        <v>85</v>
      </c>
      <c r="F27" s="15">
        <f t="shared" si="6"/>
        <v>85</v>
      </c>
    </row>
    <row r="28">
      <c r="A28" s="13" t="s">
        <v>74</v>
      </c>
      <c r="B28" s="17">
        <f t="shared" ref="B28:E28" si="8">(((((((((B16)+(B19))+(B20))+(B21))+(B22))+(B23))+(B24))+(B25))+(B26))+(B27)</f>
        <v>50</v>
      </c>
      <c r="C28" s="17">
        <f t="shared" si="8"/>
        <v>0</v>
      </c>
      <c r="D28" s="17">
        <f t="shared" si="8"/>
        <v>0</v>
      </c>
      <c r="E28" s="17">
        <f t="shared" si="8"/>
        <v>5474.7</v>
      </c>
      <c r="F28" s="17">
        <f t="shared" si="6"/>
        <v>5524.7</v>
      </c>
    </row>
    <row r="29">
      <c r="A29" s="13" t="s">
        <v>76</v>
      </c>
      <c r="B29" s="14"/>
      <c r="C29" s="14"/>
      <c r="D29" s="14"/>
      <c r="E29" s="14"/>
      <c r="F29" s="15">
        <f t="shared" si="6"/>
        <v>0</v>
      </c>
    </row>
    <row r="30">
      <c r="A30" s="13" t="s">
        <v>77</v>
      </c>
      <c r="B30" s="14"/>
      <c r="C30" s="14"/>
      <c r="D30" s="14"/>
      <c r="E30" s="14"/>
      <c r="F30" s="15">
        <f t="shared" si="6"/>
        <v>0</v>
      </c>
    </row>
    <row r="31">
      <c r="A31" s="13" t="s">
        <v>78</v>
      </c>
      <c r="B31" s="14"/>
      <c r="C31" s="14"/>
      <c r="D31" s="14"/>
      <c r="E31" s="14"/>
      <c r="F31" s="15">
        <f t="shared" si="6"/>
        <v>0</v>
      </c>
    </row>
    <row r="32">
      <c r="A32" s="13" t="s">
        <v>82</v>
      </c>
      <c r="B32" s="14"/>
      <c r="C32" s="14"/>
      <c r="D32" s="15">
        <f t="shared" ref="D32:D33" si="9">476.22</f>
        <v>476.22</v>
      </c>
      <c r="E32" s="14"/>
      <c r="F32" s="15">
        <f t="shared" si="6"/>
        <v>476.22</v>
      </c>
    </row>
    <row r="33">
      <c r="A33" s="13" t="s">
        <v>83</v>
      </c>
      <c r="B33" s="14"/>
      <c r="C33" s="14"/>
      <c r="D33" s="15">
        <f t="shared" si="9"/>
        <v>476.22</v>
      </c>
      <c r="E33" s="14"/>
      <c r="F33" s="15">
        <f t="shared" si="6"/>
        <v>476.22</v>
      </c>
    </row>
    <row r="34">
      <c r="A34" s="13" t="s">
        <v>84</v>
      </c>
      <c r="B34" s="14"/>
      <c r="C34" s="14"/>
      <c r="D34" s="15">
        <f>2108.12</f>
        <v>2108.12</v>
      </c>
      <c r="E34" s="14"/>
      <c r="F34" s="15">
        <f t="shared" si="6"/>
        <v>2108.12</v>
      </c>
    </row>
    <row r="35">
      <c r="A35" s="13" t="s">
        <v>86</v>
      </c>
      <c r="B35" s="14"/>
      <c r="C35" s="14"/>
      <c r="D35" s="15">
        <f>1195.13</f>
        <v>1195.13</v>
      </c>
      <c r="E35" s="14"/>
      <c r="F35" s="15">
        <f t="shared" si="6"/>
        <v>1195.13</v>
      </c>
    </row>
    <row r="36">
      <c r="A36" s="13" t="s">
        <v>87</v>
      </c>
      <c r="B36" s="14"/>
      <c r="C36" s="14"/>
      <c r="D36" s="15">
        <f>1137.97</f>
        <v>1137.97</v>
      </c>
      <c r="E36" s="14"/>
      <c r="F36" s="15">
        <f t="shared" si="6"/>
        <v>1137.97</v>
      </c>
    </row>
    <row r="37">
      <c r="A37" s="13" t="s">
        <v>88</v>
      </c>
      <c r="B37" s="14"/>
      <c r="C37" s="14"/>
      <c r="D37" s="15">
        <f>447.79</f>
        <v>447.79</v>
      </c>
      <c r="E37" s="14"/>
      <c r="F37" s="15">
        <f t="shared" si="6"/>
        <v>447.79</v>
      </c>
    </row>
    <row r="38">
      <c r="A38" s="13" t="s">
        <v>89</v>
      </c>
      <c r="B38" s="14"/>
      <c r="C38" s="14"/>
      <c r="D38" s="15">
        <f>3452.77</f>
        <v>3452.77</v>
      </c>
      <c r="E38" s="14"/>
      <c r="F38" s="15">
        <f t="shared" si="6"/>
        <v>3452.77</v>
      </c>
    </row>
    <row r="39">
      <c r="A39" s="13" t="s">
        <v>90</v>
      </c>
      <c r="B39" s="14"/>
      <c r="C39" s="14"/>
      <c r="D39" s="15">
        <f>1609.97</f>
        <v>1609.97</v>
      </c>
      <c r="E39" s="14"/>
      <c r="F39" s="15">
        <f t="shared" si="6"/>
        <v>1609.97</v>
      </c>
    </row>
    <row r="40">
      <c r="A40" s="13" t="s">
        <v>348</v>
      </c>
      <c r="B40" s="14"/>
      <c r="C40" s="14"/>
      <c r="D40" s="15">
        <f>196.17</f>
        <v>196.17</v>
      </c>
      <c r="E40" s="14"/>
      <c r="F40" s="15">
        <f t="shared" si="6"/>
        <v>196.17</v>
      </c>
    </row>
    <row r="41">
      <c r="A41" s="13" t="s">
        <v>349</v>
      </c>
      <c r="B41" s="14"/>
      <c r="C41" s="14"/>
      <c r="D41" s="15">
        <f>1016.85</f>
        <v>1016.85</v>
      </c>
      <c r="E41" s="14"/>
      <c r="F41" s="15">
        <f t="shared" si="6"/>
        <v>1016.85</v>
      </c>
    </row>
    <row r="42">
      <c r="A42" s="13" t="s">
        <v>91</v>
      </c>
      <c r="B42" s="14"/>
      <c r="C42" s="14"/>
      <c r="D42" s="15">
        <f>1270.96</f>
        <v>1270.96</v>
      </c>
      <c r="E42" s="14"/>
      <c r="F42" s="15">
        <f t="shared" si="6"/>
        <v>1270.96</v>
      </c>
    </row>
    <row r="43">
      <c r="A43" s="13" t="s">
        <v>92</v>
      </c>
      <c r="B43" s="14"/>
      <c r="C43" s="14"/>
      <c r="D43" s="15">
        <f>3403.04</f>
        <v>3403.04</v>
      </c>
      <c r="E43" s="14"/>
      <c r="F43" s="15">
        <f t="shared" si="6"/>
        <v>3403.04</v>
      </c>
    </row>
    <row r="44">
      <c r="A44" s="13" t="s">
        <v>93</v>
      </c>
      <c r="B44" s="14"/>
      <c r="C44" s="14"/>
      <c r="D44" s="15">
        <f>1438.82</f>
        <v>1438.82</v>
      </c>
      <c r="E44" s="14"/>
      <c r="F44" s="15">
        <f t="shared" si="6"/>
        <v>1438.82</v>
      </c>
    </row>
    <row r="45">
      <c r="A45" s="13" t="s">
        <v>94</v>
      </c>
      <c r="B45" s="17">
        <f t="shared" ref="B45:E45" si="10">(((((((((((((B31)+(B32))+(B33))+(B34))+(B35))+(B36))+(B37))+(B38))+(B39))+(B40))+(B41))+(B42))+(B43))+(B44)</f>
        <v>0</v>
      </c>
      <c r="C45" s="17">
        <f t="shared" si="10"/>
        <v>0</v>
      </c>
      <c r="D45" s="17">
        <f t="shared" si="10"/>
        <v>18230.03</v>
      </c>
      <c r="E45" s="17">
        <f t="shared" si="10"/>
        <v>0</v>
      </c>
      <c r="F45" s="17">
        <f t="shared" si="6"/>
        <v>18230.03</v>
      </c>
    </row>
    <row r="46">
      <c r="A46" s="13" t="s">
        <v>95</v>
      </c>
      <c r="B46" s="17">
        <f t="shared" ref="B46:E46" si="11">(B30)+(B45)</f>
        <v>0</v>
      </c>
      <c r="C46" s="17">
        <f t="shared" si="11"/>
        <v>0</v>
      </c>
      <c r="D46" s="17">
        <f t="shared" si="11"/>
        <v>18230.03</v>
      </c>
      <c r="E46" s="17">
        <f t="shared" si="11"/>
        <v>0</v>
      </c>
      <c r="F46" s="17">
        <f t="shared" si="6"/>
        <v>18230.03</v>
      </c>
    </row>
    <row r="47">
      <c r="A47" s="13" t="s">
        <v>97</v>
      </c>
      <c r="B47" s="14"/>
      <c r="C47" s="14"/>
      <c r="D47" s="14"/>
      <c r="E47" s="14"/>
      <c r="F47" s="15">
        <f t="shared" si="6"/>
        <v>0</v>
      </c>
    </row>
    <row r="48">
      <c r="A48" s="13" t="s">
        <v>98</v>
      </c>
      <c r="B48" s="14"/>
      <c r="C48" s="14"/>
      <c r="D48" s="14"/>
      <c r="E48" s="14"/>
      <c r="F48" s="15">
        <f t="shared" si="6"/>
        <v>0</v>
      </c>
    </row>
    <row r="49">
      <c r="A49" s="13" t="s">
        <v>99</v>
      </c>
      <c r="B49" s="15">
        <f>6788.43</f>
        <v>6788.43</v>
      </c>
      <c r="C49" s="15">
        <f>6242.93</f>
        <v>6242.93</v>
      </c>
      <c r="D49" s="14"/>
      <c r="E49" s="14"/>
      <c r="F49" s="15">
        <f t="shared" si="6"/>
        <v>13031.36</v>
      </c>
    </row>
    <row r="50">
      <c r="A50" s="13" t="s">
        <v>101</v>
      </c>
      <c r="B50" s="14"/>
      <c r="C50" s="14"/>
      <c r="D50" s="14"/>
      <c r="E50" s="14"/>
      <c r="F50" s="15">
        <f t="shared" si="6"/>
        <v>0</v>
      </c>
    </row>
    <row r="51">
      <c r="A51" s="13" t="s">
        <v>102</v>
      </c>
      <c r="B51" s="14"/>
      <c r="C51" s="15">
        <f>2000</f>
        <v>2000</v>
      </c>
      <c r="D51" s="14"/>
      <c r="E51" s="14"/>
      <c r="F51" s="15">
        <f t="shared" si="6"/>
        <v>2000</v>
      </c>
    </row>
    <row r="52">
      <c r="A52" s="13" t="s">
        <v>103</v>
      </c>
      <c r="B52" s="14"/>
      <c r="C52" s="15">
        <f>500</f>
        <v>500</v>
      </c>
      <c r="D52" s="14"/>
      <c r="E52" s="14"/>
      <c r="F52" s="15">
        <f t="shared" si="6"/>
        <v>500</v>
      </c>
    </row>
    <row r="53">
      <c r="A53" s="13" t="s">
        <v>104</v>
      </c>
      <c r="B53" s="14"/>
      <c r="C53" s="15">
        <f>176.99</f>
        <v>176.99</v>
      </c>
      <c r="D53" s="14"/>
      <c r="E53" s="14"/>
      <c r="F53" s="15">
        <f t="shared" si="6"/>
        <v>176.99</v>
      </c>
    </row>
    <row r="54">
      <c r="A54" s="13" t="s">
        <v>105</v>
      </c>
      <c r="B54" s="17">
        <f t="shared" ref="B54:E54" si="12">(((B50)+(B51))+(B52))+(B53)</f>
        <v>0</v>
      </c>
      <c r="C54" s="17">
        <f t="shared" si="12"/>
        <v>2676.99</v>
      </c>
      <c r="D54" s="17">
        <f t="shared" si="12"/>
        <v>0</v>
      </c>
      <c r="E54" s="17">
        <f t="shared" si="12"/>
        <v>0</v>
      </c>
      <c r="F54" s="17">
        <f t="shared" si="6"/>
        <v>2676.99</v>
      </c>
    </row>
    <row r="55">
      <c r="A55" s="13" t="s">
        <v>106</v>
      </c>
      <c r="B55" s="14"/>
      <c r="C55" s="15">
        <f>426.25</f>
        <v>426.25</v>
      </c>
      <c r="D55" s="14"/>
      <c r="E55" s="14"/>
      <c r="F55" s="15">
        <f t="shared" si="6"/>
        <v>426.25</v>
      </c>
    </row>
    <row r="56">
      <c r="A56" s="13" t="s">
        <v>107</v>
      </c>
      <c r="B56" s="14"/>
      <c r="C56" s="15">
        <f>3476.25</f>
        <v>3476.25</v>
      </c>
      <c r="D56" s="14"/>
      <c r="E56" s="14"/>
      <c r="F56" s="15">
        <f t="shared" si="6"/>
        <v>3476.25</v>
      </c>
    </row>
    <row r="57">
      <c r="A57" s="13" t="s">
        <v>108</v>
      </c>
      <c r="B57" s="14"/>
      <c r="C57" s="15">
        <f>753.75</f>
        <v>753.75</v>
      </c>
      <c r="D57" s="14"/>
      <c r="E57" s="14"/>
      <c r="F57" s="15">
        <f t="shared" si="6"/>
        <v>753.75</v>
      </c>
    </row>
    <row r="58">
      <c r="A58" s="13" t="s">
        <v>110</v>
      </c>
      <c r="B58" s="17">
        <f t="shared" ref="B58:E58" si="13">(((((B48)+(B49))+(B54))+(B55))+(B56))+(B57)</f>
        <v>6788.43</v>
      </c>
      <c r="C58" s="17">
        <f t="shared" si="13"/>
        <v>13576.17</v>
      </c>
      <c r="D58" s="17">
        <f t="shared" si="13"/>
        <v>0</v>
      </c>
      <c r="E58" s="17">
        <f t="shared" si="13"/>
        <v>0</v>
      </c>
      <c r="F58" s="17">
        <f t="shared" si="6"/>
        <v>20364.6</v>
      </c>
    </row>
    <row r="59">
      <c r="A59" s="13" t="s">
        <v>112</v>
      </c>
      <c r="B59" s="17">
        <f t="shared" ref="B59:E59" si="14">(B47)+(B58)</f>
        <v>6788.43</v>
      </c>
      <c r="C59" s="17">
        <f t="shared" si="14"/>
        <v>13576.17</v>
      </c>
      <c r="D59" s="17">
        <f t="shared" si="14"/>
        <v>0</v>
      </c>
      <c r="E59" s="17">
        <f t="shared" si="14"/>
        <v>0</v>
      </c>
      <c r="F59" s="17">
        <f t="shared" si="6"/>
        <v>20364.6</v>
      </c>
    </row>
    <row r="60">
      <c r="A60" s="13" t="s">
        <v>113</v>
      </c>
      <c r="B60" s="17">
        <f t="shared" ref="B60:E60" si="15">((B29)+(B46))+(B59)</f>
        <v>6788.43</v>
      </c>
      <c r="C60" s="17">
        <f t="shared" si="15"/>
        <v>13576.17</v>
      </c>
      <c r="D60" s="17">
        <f t="shared" si="15"/>
        <v>18230.03</v>
      </c>
      <c r="E60" s="17">
        <f t="shared" si="15"/>
        <v>0</v>
      </c>
      <c r="F60" s="17">
        <f t="shared" si="6"/>
        <v>38594.63</v>
      </c>
    </row>
    <row r="61">
      <c r="A61" s="13" t="s">
        <v>114</v>
      </c>
      <c r="B61" s="17">
        <f t="shared" ref="B61:E61" si="16">(B28)+(B60)</f>
        <v>6838.43</v>
      </c>
      <c r="C61" s="17">
        <f t="shared" si="16"/>
        <v>13576.17</v>
      </c>
      <c r="D61" s="17">
        <f t="shared" si="16"/>
        <v>18230.03</v>
      </c>
      <c r="E61" s="17">
        <f t="shared" si="16"/>
        <v>5474.7</v>
      </c>
      <c r="F61" s="17">
        <f t="shared" si="6"/>
        <v>44119.33</v>
      </c>
    </row>
    <row r="62">
      <c r="A62" s="13" t="s">
        <v>115</v>
      </c>
      <c r="B62" s="17">
        <f t="shared" ref="B62:E62" si="17">(B14)-(B61)</f>
        <v>16646.06</v>
      </c>
      <c r="C62" s="17">
        <f t="shared" si="17"/>
        <v>33083.04</v>
      </c>
      <c r="D62" s="17">
        <f t="shared" si="17"/>
        <v>-18230.03</v>
      </c>
      <c r="E62" s="17">
        <f t="shared" si="17"/>
        <v>-5474.7</v>
      </c>
      <c r="F62" s="17">
        <f t="shared" si="6"/>
        <v>26024.37</v>
      </c>
    </row>
    <row r="63">
      <c r="A63" s="13" t="s">
        <v>4</v>
      </c>
      <c r="B63" s="17">
        <f t="shared" ref="B63:E63" si="18">(B62)+(0)</f>
        <v>16646.06</v>
      </c>
      <c r="C63" s="17">
        <f t="shared" si="18"/>
        <v>33083.04</v>
      </c>
      <c r="D63" s="17">
        <f t="shared" si="18"/>
        <v>-18230.03</v>
      </c>
      <c r="E63" s="17">
        <f t="shared" si="18"/>
        <v>-5474.7</v>
      </c>
      <c r="F63" s="17">
        <f t="shared" si="6"/>
        <v>26024.37</v>
      </c>
    </row>
    <row r="64">
      <c r="A64" s="13"/>
      <c r="B64" s="14"/>
      <c r="C64" s="14"/>
      <c r="D64" s="14"/>
      <c r="E64" s="14"/>
      <c r="F64" s="14"/>
    </row>
    <row r="65"/>
    <row r="66"/>
    <row r="67">
      <c r="A67" s="19" t="s">
        <v>373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26" width="7.63"/>
  </cols>
  <sheetData>
    <row r="1">
      <c r="A1" s="8" t="s">
        <v>6</v>
      </c>
    </row>
    <row r="2">
      <c r="A2" s="8" t="s">
        <v>117</v>
      </c>
    </row>
    <row r="3">
      <c r="A3" s="9" t="s">
        <v>8</v>
      </c>
    </row>
    <row r="5">
      <c r="A5" s="10"/>
      <c r="B5" s="11" t="s">
        <v>120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5" si="1">B7</f>
        <v/>
      </c>
    </row>
    <row r="8">
      <c r="A8" s="13" t="s">
        <v>42</v>
      </c>
      <c r="B8" s="15">
        <f>5441.28</f>
        <v>5441.28</v>
      </c>
      <c r="C8" s="15">
        <f t="shared" si="1"/>
        <v>5441.28</v>
      </c>
    </row>
    <row r="9">
      <c r="A9" s="13" t="s">
        <v>43</v>
      </c>
      <c r="B9" s="15">
        <f>27155.12</f>
        <v>27155.12</v>
      </c>
      <c r="C9" s="15">
        <f t="shared" si="1"/>
        <v>27155.12</v>
      </c>
    </row>
    <row r="10">
      <c r="A10" s="13" t="s">
        <v>46</v>
      </c>
      <c r="B10" s="15">
        <f>3160.98</f>
        <v>3160.98</v>
      </c>
      <c r="C10" s="15">
        <f t="shared" si="1"/>
        <v>3160.98</v>
      </c>
    </row>
    <row r="11">
      <c r="A11" s="13" t="s">
        <v>47</v>
      </c>
      <c r="B11" s="15">
        <f>898.71</f>
        <v>898.71</v>
      </c>
      <c r="C11" s="15">
        <f t="shared" si="1"/>
        <v>898.71</v>
      </c>
    </row>
    <row r="12">
      <c r="A12" s="13" t="s">
        <v>48</v>
      </c>
      <c r="B12" s="17">
        <f>((B9)+(B10))+(B11)</f>
        <v>31214.81</v>
      </c>
      <c r="C12" s="17">
        <f t="shared" si="1"/>
        <v>31214.81</v>
      </c>
    </row>
    <row r="13">
      <c r="A13" s="13" t="s">
        <v>49</v>
      </c>
      <c r="B13" s="17">
        <f>((B7)+(B8))+(B12)</f>
        <v>36656.09</v>
      </c>
      <c r="C13" s="17">
        <f t="shared" si="1"/>
        <v>36656.09</v>
      </c>
    </row>
    <row r="14">
      <c r="A14" s="13" t="s">
        <v>2</v>
      </c>
      <c r="B14" s="17">
        <f>B13</f>
        <v>36656.09</v>
      </c>
      <c r="C14" s="17">
        <f t="shared" si="1"/>
        <v>36656.09</v>
      </c>
    </row>
    <row r="15">
      <c r="A15" s="13" t="s">
        <v>50</v>
      </c>
      <c r="B15" s="17">
        <f>(B14)-(0)</f>
        <v>36656.09</v>
      </c>
      <c r="C15" s="17">
        <f t="shared" si="1"/>
        <v>36656.09</v>
      </c>
    </row>
    <row r="16">
      <c r="A16" s="13" t="s">
        <v>51</v>
      </c>
      <c r="B16" s="14"/>
      <c r="C16" s="14"/>
    </row>
    <row r="17">
      <c r="A17" s="13" t="s">
        <v>52</v>
      </c>
      <c r="B17" s="14"/>
      <c r="C17" s="15" t="str">
        <f t="shared" ref="C17:C34" si="2">B17</f>
        <v/>
      </c>
    </row>
    <row r="18">
      <c r="A18" s="13" t="s">
        <v>53</v>
      </c>
      <c r="B18" s="14"/>
      <c r="C18" s="15" t="str">
        <f t="shared" si="2"/>
        <v/>
      </c>
    </row>
    <row r="19">
      <c r="A19" s="13" t="s">
        <v>55</v>
      </c>
      <c r="B19" s="15">
        <f>991.25</f>
        <v>991.25</v>
      </c>
      <c r="C19" s="15">
        <f t="shared" si="2"/>
        <v>991.25</v>
      </c>
    </row>
    <row r="20">
      <c r="A20" s="13" t="s">
        <v>56</v>
      </c>
      <c r="B20" s="17">
        <f>(B18)+(B19)</f>
        <v>991.25</v>
      </c>
      <c r="C20" s="17">
        <f t="shared" si="2"/>
        <v>991.25</v>
      </c>
    </row>
    <row r="21">
      <c r="A21" s="13" t="s">
        <v>66</v>
      </c>
      <c r="B21" s="15">
        <f>275</f>
        <v>275</v>
      </c>
      <c r="C21" s="15">
        <f t="shared" si="2"/>
        <v>275</v>
      </c>
    </row>
    <row r="22">
      <c r="A22" s="13" t="s">
        <v>68</v>
      </c>
      <c r="B22" s="15">
        <f>20</f>
        <v>20</v>
      </c>
      <c r="C22" s="15">
        <f t="shared" si="2"/>
        <v>20</v>
      </c>
    </row>
    <row r="23">
      <c r="A23" s="13" t="s">
        <v>74</v>
      </c>
      <c r="B23" s="17">
        <f>(((B17)+(B20))+(B21))+(B22)</f>
        <v>1286.25</v>
      </c>
      <c r="C23" s="17">
        <f t="shared" si="2"/>
        <v>1286.25</v>
      </c>
    </row>
    <row r="24">
      <c r="A24" s="13" t="s">
        <v>76</v>
      </c>
      <c r="B24" s="14"/>
      <c r="C24" s="15" t="str">
        <f t="shared" si="2"/>
        <v/>
      </c>
    </row>
    <row r="25">
      <c r="A25" s="13" t="s">
        <v>97</v>
      </c>
      <c r="B25" s="14"/>
      <c r="C25" s="15" t="str">
        <f t="shared" si="2"/>
        <v/>
      </c>
    </row>
    <row r="26">
      <c r="A26" s="13" t="s">
        <v>98</v>
      </c>
      <c r="B26" s="14"/>
      <c r="C26" s="15" t="str">
        <f t="shared" si="2"/>
        <v/>
      </c>
    </row>
    <row r="27">
      <c r="A27" s="13" t="s">
        <v>99</v>
      </c>
      <c r="B27" s="15">
        <f>29617.59</f>
        <v>29617.59</v>
      </c>
      <c r="C27" s="15">
        <f t="shared" si="2"/>
        <v>29617.59</v>
      </c>
    </row>
    <row r="28">
      <c r="A28" s="13" t="s">
        <v>109</v>
      </c>
      <c r="B28" s="15">
        <f>519.4</f>
        <v>519.4</v>
      </c>
      <c r="C28" s="15">
        <f t="shared" si="2"/>
        <v>519.4</v>
      </c>
    </row>
    <row r="29">
      <c r="A29" s="13" t="s">
        <v>110</v>
      </c>
      <c r="B29" s="17">
        <f>((B26)+(B27))+(B28)</f>
        <v>30136.99</v>
      </c>
      <c r="C29" s="17">
        <f t="shared" si="2"/>
        <v>30136.99</v>
      </c>
    </row>
    <row r="30">
      <c r="A30" s="13" t="s">
        <v>112</v>
      </c>
      <c r="B30" s="17">
        <f>(B25)+(B29)</f>
        <v>30136.99</v>
      </c>
      <c r="C30" s="17">
        <f t="shared" si="2"/>
        <v>30136.99</v>
      </c>
    </row>
    <row r="31">
      <c r="A31" s="13" t="s">
        <v>113</v>
      </c>
      <c r="B31" s="17">
        <f>(B24)+(B30)</f>
        <v>30136.99</v>
      </c>
      <c r="C31" s="17">
        <f t="shared" si="2"/>
        <v>30136.99</v>
      </c>
    </row>
    <row r="32">
      <c r="A32" s="13" t="s">
        <v>114</v>
      </c>
      <c r="B32" s="17">
        <f>(B23)+(B31)</f>
        <v>31423.24</v>
      </c>
      <c r="C32" s="17">
        <f t="shared" si="2"/>
        <v>31423.24</v>
      </c>
    </row>
    <row r="33">
      <c r="A33" s="13" t="s">
        <v>115</v>
      </c>
      <c r="B33" s="17">
        <f>(B15)-(B32)</f>
        <v>5232.85</v>
      </c>
      <c r="C33" s="17">
        <f t="shared" si="2"/>
        <v>5232.85</v>
      </c>
    </row>
    <row r="34">
      <c r="A34" s="13" t="s">
        <v>4</v>
      </c>
      <c r="B34" s="17">
        <f>(B33)+(0)</f>
        <v>5232.85</v>
      </c>
      <c r="C34" s="17">
        <f t="shared" si="2"/>
        <v>5232.85</v>
      </c>
    </row>
    <row r="35">
      <c r="A35" s="13"/>
      <c r="B35" s="14"/>
      <c r="C35" s="14"/>
    </row>
    <row r="36"/>
    <row r="37"/>
    <row r="38">
      <c r="A38" s="19" t="s">
        <v>194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3" width="31.63"/>
    <col customWidth="1" min="4" max="5" width="7.63"/>
    <col customWidth="1" min="6" max="6" width="19.88"/>
    <col customWidth="1" min="7" max="26" width="7.63"/>
  </cols>
  <sheetData>
    <row r="1">
      <c r="A1" s="8" t="s">
        <v>6</v>
      </c>
    </row>
    <row r="2">
      <c r="A2" s="8" t="s">
        <v>117</v>
      </c>
    </row>
    <row r="3">
      <c r="A3" s="9" t="s">
        <v>8</v>
      </c>
      <c r="F3" s="25" t="s">
        <v>195</v>
      </c>
    </row>
    <row r="4">
      <c r="F4" s="24">
        <v>119745.1</v>
      </c>
    </row>
    <row r="5">
      <c r="A5" s="10"/>
      <c r="B5" s="11" t="s">
        <v>121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22</v>
      </c>
      <c r="B7" s="14"/>
      <c r="C7" s="15" t="str">
        <f t="shared" ref="C7:C24" si="1">B7</f>
        <v/>
      </c>
    </row>
    <row r="8">
      <c r="A8" s="13" t="s">
        <v>25</v>
      </c>
      <c r="B8" s="15">
        <f t="shared" ref="B8:B9" si="2">2577.08</f>
        <v>2577.08</v>
      </c>
      <c r="C8" s="15">
        <f t="shared" si="1"/>
        <v>2577.08</v>
      </c>
    </row>
    <row r="9">
      <c r="A9" s="13" t="s">
        <v>26</v>
      </c>
      <c r="B9" s="15">
        <f t="shared" si="2"/>
        <v>2577.08</v>
      </c>
      <c r="C9" s="15">
        <f t="shared" si="1"/>
        <v>2577.08</v>
      </c>
    </row>
    <row r="10">
      <c r="A10" s="13" t="s">
        <v>27</v>
      </c>
      <c r="B10" s="15">
        <f>33266.72</f>
        <v>33266.72</v>
      </c>
      <c r="C10" s="15">
        <f t="shared" si="1"/>
        <v>33266.72</v>
      </c>
    </row>
    <row r="11">
      <c r="A11" s="13" t="s">
        <v>28</v>
      </c>
      <c r="B11" s="15">
        <f>2586.08</f>
        <v>2586.08</v>
      </c>
      <c r="C11" s="15">
        <f t="shared" si="1"/>
        <v>2586.08</v>
      </c>
    </row>
    <row r="12">
      <c r="A12" s="13" t="s">
        <v>29</v>
      </c>
      <c r="B12" s="15">
        <f>2573.85</f>
        <v>2573.85</v>
      </c>
      <c r="C12" s="15">
        <f t="shared" si="1"/>
        <v>2573.85</v>
      </c>
    </row>
    <row r="13">
      <c r="A13" s="13" t="s">
        <v>31</v>
      </c>
      <c r="B13" s="15">
        <f>2576.08</f>
        <v>2576.08</v>
      </c>
      <c r="C13" s="15">
        <f t="shared" si="1"/>
        <v>2576.08</v>
      </c>
    </row>
    <row r="14">
      <c r="A14" s="13" t="s">
        <v>32</v>
      </c>
      <c r="B14" s="15">
        <f>15000</f>
        <v>15000</v>
      </c>
      <c r="C14" s="15">
        <f t="shared" si="1"/>
        <v>15000</v>
      </c>
    </row>
    <row r="15">
      <c r="A15" s="13" t="s">
        <v>33</v>
      </c>
      <c r="B15" s="15">
        <f>7224.94</f>
        <v>7224.94</v>
      </c>
      <c r="C15" s="15">
        <f t="shared" si="1"/>
        <v>7224.94</v>
      </c>
    </row>
    <row r="16">
      <c r="A16" s="13" t="s">
        <v>34</v>
      </c>
      <c r="B16" s="15">
        <f t="shared" ref="B16:B17" si="3">9738.23</f>
        <v>9738.23</v>
      </c>
      <c r="C16" s="15">
        <f t="shared" si="1"/>
        <v>9738.23</v>
      </c>
    </row>
    <row r="17">
      <c r="A17" s="13" t="s">
        <v>35</v>
      </c>
      <c r="B17" s="15">
        <f t="shared" si="3"/>
        <v>9738.23</v>
      </c>
      <c r="C17" s="15">
        <f t="shared" si="1"/>
        <v>9738.23</v>
      </c>
    </row>
    <row r="18">
      <c r="A18" s="13" t="s">
        <v>36</v>
      </c>
      <c r="B18" s="15">
        <f>18839.93</f>
        <v>18839.93</v>
      </c>
      <c r="C18" s="15">
        <f t="shared" si="1"/>
        <v>18839.93</v>
      </c>
    </row>
    <row r="19">
      <c r="A19" s="13" t="s">
        <v>37</v>
      </c>
      <c r="B19" s="15">
        <f>4876.41</f>
        <v>4876.41</v>
      </c>
      <c r="C19" s="15">
        <f t="shared" si="1"/>
        <v>4876.41</v>
      </c>
    </row>
    <row r="20">
      <c r="A20" s="13" t="s">
        <v>38</v>
      </c>
      <c r="B20" s="15">
        <f>4874.4</f>
        <v>4874.4</v>
      </c>
      <c r="C20" s="15">
        <f t="shared" si="1"/>
        <v>4874.4</v>
      </c>
    </row>
    <row r="21">
      <c r="A21" s="13" t="s">
        <v>39</v>
      </c>
      <c r="B21" s="15">
        <f>2577.08</f>
        <v>2577.08</v>
      </c>
      <c r="C21" s="15">
        <f t="shared" si="1"/>
        <v>2577.08</v>
      </c>
    </row>
    <row r="22">
      <c r="A22" s="13" t="s">
        <v>40</v>
      </c>
      <c r="B22" s="17">
        <f>((((((((((((((B7)+(B8))+(B9))+(B10))+(B11))+(B12))+(B13))+(B14))+(B15))+(B16))+(B17))+(B18))+(B19))+(B20))+(B21)</f>
        <v>119026.11</v>
      </c>
      <c r="C22" s="17">
        <f t="shared" si="1"/>
        <v>119026.11</v>
      </c>
    </row>
    <row r="23">
      <c r="A23" s="13" t="s">
        <v>2</v>
      </c>
      <c r="B23" s="17">
        <f>B22</f>
        <v>119026.11</v>
      </c>
      <c r="C23" s="17">
        <f t="shared" si="1"/>
        <v>119026.11</v>
      </c>
    </row>
    <row r="24">
      <c r="A24" s="13" t="s">
        <v>50</v>
      </c>
      <c r="B24" s="17">
        <f>(B23)-(0)</f>
        <v>119026.11</v>
      </c>
      <c r="C24" s="17">
        <f t="shared" si="1"/>
        <v>119026.11</v>
      </c>
    </row>
    <row r="25">
      <c r="A25" s="13" t="s">
        <v>51</v>
      </c>
      <c r="B25" s="14"/>
      <c r="C25" s="14"/>
    </row>
    <row r="26">
      <c r="A26" s="13" t="s">
        <v>52</v>
      </c>
      <c r="B26" s="14"/>
      <c r="C26" s="15" t="str">
        <f t="shared" ref="C26:C41" si="4">B26</f>
        <v/>
      </c>
    </row>
    <row r="27">
      <c r="A27" s="13" t="s">
        <v>58</v>
      </c>
      <c r="B27" s="15">
        <f>0</f>
        <v>0</v>
      </c>
      <c r="C27" s="15">
        <f t="shared" si="4"/>
        <v>0</v>
      </c>
    </row>
    <row r="28">
      <c r="A28" s="13" t="s">
        <v>74</v>
      </c>
      <c r="B28" s="17">
        <f>(B26)+(B27)</f>
        <v>0</v>
      </c>
      <c r="C28" s="17">
        <f t="shared" si="4"/>
        <v>0</v>
      </c>
    </row>
    <row r="29">
      <c r="A29" s="13" t="s">
        <v>76</v>
      </c>
      <c r="B29" s="14"/>
      <c r="C29" s="15" t="str">
        <f t="shared" si="4"/>
        <v/>
      </c>
    </row>
    <row r="30">
      <c r="A30" s="13" t="s">
        <v>77</v>
      </c>
      <c r="B30" s="14"/>
      <c r="C30" s="15" t="str">
        <f t="shared" si="4"/>
        <v/>
      </c>
    </row>
    <row r="31">
      <c r="A31" s="13" t="s">
        <v>78</v>
      </c>
      <c r="B31" s="15">
        <f>1650.6</f>
        <v>1650.6</v>
      </c>
      <c r="C31" s="15">
        <f t="shared" si="4"/>
        <v>1650.6</v>
      </c>
    </row>
    <row r="32">
      <c r="A32" s="13" t="s">
        <v>84</v>
      </c>
      <c r="B32" s="15">
        <f>2542.69</f>
        <v>2542.69</v>
      </c>
      <c r="C32" s="15">
        <f t="shared" si="4"/>
        <v>2542.69</v>
      </c>
    </row>
    <row r="33">
      <c r="A33" s="13" t="s">
        <v>85</v>
      </c>
      <c r="B33" s="15">
        <f>14535.39</f>
        <v>14535.39</v>
      </c>
      <c r="C33" s="15">
        <f t="shared" si="4"/>
        <v>14535.39</v>
      </c>
    </row>
    <row r="34">
      <c r="A34" s="13" t="s">
        <v>89</v>
      </c>
      <c r="B34" s="15">
        <f>2501.13</f>
        <v>2501.13</v>
      </c>
      <c r="C34" s="15">
        <f t="shared" si="4"/>
        <v>2501.13</v>
      </c>
    </row>
    <row r="35">
      <c r="A35" s="13" t="s">
        <v>90</v>
      </c>
      <c r="B35" s="15">
        <f>451.17</f>
        <v>451.17</v>
      </c>
      <c r="C35" s="15">
        <f t="shared" si="4"/>
        <v>451.17</v>
      </c>
    </row>
    <row r="36">
      <c r="A36" s="13" t="s">
        <v>94</v>
      </c>
      <c r="B36" s="17">
        <f>((((B31)+(B32))+(B33))+(B34))+(B35)</f>
        <v>21680.98</v>
      </c>
      <c r="C36" s="17">
        <f t="shared" si="4"/>
        <v>21680.98</v>
      </c>
    </row>
    <row r="37">
      <c r="A37" s="13" t="s">
        <v>95</v>
      </c>
      <c r="B37" s="17">
        <f>(B30)+(B36)</f>
        <v>21680.98</v>
      </c>
      <c r="C37" s="17">
        <f t="shared" si="4"/>
        <v>21680.98</v>
      </c>
    </row>
    <row r="38">
      <c r="A38" s="13" t="s">
        <v>113</v>
      </c>
      <c r="B38" s="17">
        <f>(B29)+(B37)</f>
        <v>21680.98</v>
      </c>
      <c r="C38" s="17">
        <f t="shared" si="4"/>
        <v>21680.98</v>
      </c>
    </row>
    <row r="39">
      <c r="A39" s="13" t="s">
        <v>114</v>
      </c>
      <c r="B39" s="17">
        <f>(B28)+(B38)</f>
        <v>21680.98</v>
      </c>
      <c r="C39" s="17">
        <f t="shared" si="4"/>
        <v>21680.98</v>
      </c>
    </row>
    <row r="40">
      <c r="A40" s="13" t="s">
        <v>115</v>
      </c>
      <c r="B40" s="17">
        <f>(B24)-(B39)</f>
        <v>97345.13</v>
      </c>
      <c r="C40" s="17">
        <f t="shared" si="4"/>
        <v>97345.13</v>
      </c>
    </row>
    <row r="41">
      <c r="A41" s="13" t="s">
        <v>4</v>
      </c>
      <c r="B41" s="17">
        <f>(B40)+(0)</f>
        <v>97345.13</v>
      </c>
      <c r="C41" s="17">
        <f t="shared" si="4"/>
        <v>97345.13</v>
      </c>
    </row>
    <row r="42">
      <c r="A42" s="13"/>
      <c r="B42" s="14"/>
      <c r="C42" s="14"/>
    </row>
    <row r="43"/>
    <row r="44"/>
    <row r="45">
      <c r="A45" s="19" t="s">
        <v>196</v>
      </c>
    </row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5:C4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31.63"/>
    <col customWidth="1" min="4" max="4" width="7.63"/>
    <col customWidth="1" min="5" max="5" width="22.0"/>
    <col customWidth="1" min="6" max="26" width="7.63"/>
  </cols>
  <sheetData>
    <row r="1">
      <c r="A1" s="8" t="s">
        <v>6</v>
      </c>
    </row>
    <row r="2">
      <c r="A2" s="8" t="s">
        <v>117</v>
      </c>
      <c r="E2" s="26" t="s">
        <v>197</v>
      </c>
    </row>
    <row r="3">
      <c r="A3" s="9" t="s">
        <v>8</v>
      </c>
      <c r="E3" s="23" t="s">
        <v>198</v>
      </c>
    </row>
    <row r="5">
      <c r="A5" s="10"/>
      <c r="B5" s="11" t="s">
        <v>122</v>
      </c>
      <c r="C5" s="11" t="s">
        <v>124</v>
      </c>
    </row>
    <row r="6">
      <c r="A6" s="13" t="s">
        <v>14</v>
      </c>
      <c r="B6" s="14"/>
      <c r="C6" s="14"/>
    </row>
    <row r="7">
      <c r="A7" s="13" t="s">
        <v>41</v>
      </c>
      <c r="B7" s="14"/>
      <c r="C7" s="15" t="str">
        <f t="shared" ref="C7:C13" si="1">B7</f>
        <v/>
      </c>
    </row>
    <row r="8">
      <c r="A8" s="13" t="s">
        <v>43</v>
      </c>
      <c r="B8" s="14"/>
      <c r="C8" s="15" t="str">
        <f t="shared" si="1"/>
        <v/>
      </c>
    </row>
    <row r="9">
      <c r="A9" s="13" t="s">
        <v>44</v>
      </c>
      <c r="B9" s="15">
        <f>25898.36</f>
        <v>25898.36</v>
      </c>
      <c r="C9" s="15">
        <f t="shared" si="1"/>
        <v>25898.36</v>
      </c>
    </row>
    <row r="10">
      <c r="A10" s="13" t="s">
        <v>48</v>
      </c>
      <c r="B10" s="17">
        <f>(B8)+(B9)</f>
        <v>25898.36</v>
      </c>
      <c r="C10" s="17">
        <f t="shared" si="1"/>
        <v>25898.36</v>
      </c>
    </row>
    <row r="11">
      <c r="A11" s="13" t="s">
        <v>49</v>
      </c>
      <c r="B11" s="17">
        <f>(B7)+(B10)</f>
        <v>25898.36</v>
      </c>
      <c r="C11" s="17">
        <f t="shared" si="1"/>
        <v>25898.36</v>
      </c>
    </row>
    <row r="12">
      <c r="A12" s="13" t="s">
        <v>2</v>
      </c>
      <c r="B12" s="17">
        <f>B11</f>
        <v>25898.36</v>
      </c>
      <c r="C12" s="17">
        <f t="shared" si="1"/>
        <v>25898.36</v>
      </c>
    </row>
    <row r="13">
      <c r="A13" s="13" t="s">
        <v>50</v>
      </c>
      <c r="B13" s="17">
        <f>(B12)-(0)</f>
        <v>25898.36</v>
      </c>
      <c r="C13" s="17">
        <f t="shared" si="1"/>
        <v>25898.36</v>
      </c>
    </row>
    <row r="14">
      <c r="A14" s="13" t="s">
        <v>51</v>
      </c>
      <c r="B14" s="14"/>
      <c r="C14" s="14"/>
    </row>
    <row r="15">
      <c r="A15" s="13" t="s">
        <v>76</v>
      </c>
      <c r="B15" s="14"/>
      <c r="C15" s="15" t="str">
        <f t="shared" ref="C15:C34" si="2">B15</f>
        <v/>
      </c>
    </row>
    <row r="16">
      <c r="A16" s="13" t="s">
        <v>97</v>
      </c>
      <c r="B16" s="14"/>
      <c r="C16" s="15" t="str">
        <f t="shared" si="2"/>
        <v/>
      </c>
    </row>
    <row r="17">
      <c r="A17" s="13" t="s">
        <v>98</v>
      </c>
      <c r="B17" s="14"/>
      <c r="C17" s="15" t="str">
        <f t="shared" si="2"/>
        <v/>
      </c>
    </row>
    <row r="18">
      <c r="A18" s="13" t="s">
        <v>99</v>
      </c>
      <c r="B18" s="15">
        <f>8023.88</f>
        <v>8023.88</v>
      </c>
      <c r="C18" s="15">
        <f t="shared" si="2"/>
        <v>8023.88</v>
      </c>
    </row>
    <row r="19">
      <c r="A19" s="13" t="s">
        <v>101</v>
      </c>
      <c r="B19" s="14"/>
      <c r="C19" s="15" t="str">
        <f t="shared" si="2"/>
        <v/>
      </c>
    </row>
    <row r="20">
      <c r="A20" s="13" t="s">
        <v>102</v>
      </c>
      <c r="B20" s="15">
        <f>6344.9</f>
        <v>6344.9</v>
      </c>
      <c r="C20" s="15">
        <f t="shared" si="2"/>
        <v>6344.9</v>
      </c>
    </row>
    <row r="21">
      <c r="A21" s="13" t="s">
        <v>103</v>
      </c>
      <c r="B21" s="15">
        <f>2000</f>
        <v>2000</v>
      </c>
      <c r="C21" s="15">
        <f t="shared" si="2"/>
        <v>2000</v>
      </c>
    </row>
    <row r="22">
      <c r="A22" s="13" t="s">
        <v>104</v>
      </c>
      <c r="B22" s="15">
        <f>593.32</f>
        <v>593.32</v>
      </c>
      <c r="C22" s="15">
        <f t="shared" si="2"/>
        <v>593.32</v>
      </c>
    </row>
    <row r="23">
      <c r="A23" s="13" t="s">
        <v>105</v>
      </c>
      <c r="B23" s="17">
        <f>(((B19)+(B20))+(B21))+(B22)</f>
        <v>8938.22</v>
      </c>
      <c r="C23" s="17">
        <f t="shared" si="2"/>
        <v>8938.22</v>
      </c>
    </row>
    <row r="24">
      <c r="A24" s="13" t="s">
        <v>106</v>
      </c>
      <c r="B24" s="15">
        <f>660</f>
        <v>660</v>
      </c>
      <c r="C24" s="15">
        <f t="shared" si="2"/>
        <v>660</v>
      </c>
    </row>
    <row r="25">
      <c r="A25" s="13" t="s">
        <v>107</v>
      </c>
      <c r="B25" s="15">
        <f>17090.59</f>
        <v>17090.59</v>
      </c>
      <c r="C25" s="15">
        <f t="shared" si="2"/>
        <v>17090.59</v>
      </c>
    </row>
    <row r="26">
      <c r="A26" s="13" t="s">
        <v>108</v>
      </c>
      <c r="B26" s="15">
        <f>2261.25</f>
        <v>2261.25</v>
      </c>
      <c r="C26" s="15">
        <f t="shared" si="2"/>
        <v>2261.25</v>
      </c>
    </row>
    <row r="27">
      <c r="A27" s="13" t="s">
        <v>109</v>
      </c>
      <c r="B27" s="15">
        <f>321.3</f>
        <v>321.3</v>
      </c>
      <c r="C27" s="15">
        <f t="shared" si="2"/>
        <v>321.3</v>
      </c>
    </row>
    <row r="28">
      <c r="A28" s="13" t="s">
        <v>110</v>
      </c>
      <c r="B28" s="17">
        <f>((((((B17)+(B18))+(B23))+(B24))+(B25))+(B26))+(B27)</f>
        <v>37295.24</v>
      </c>
      <c r="C28" s="17">
        <f t="shared" si="2"/>
        <v>37295.24</v>
      </c>
    </row>
    <row r="29">
      <c r="A29" s="13" t="s">
        <v>111</v>
      </c>
      <c r="B29" s="15">
        <f>677.08</f>
        <v>677.08</v>
      </c>
      <c r="C29" s="15">
        <f t="shared" si="2"/>
        <v>677.08</v>
      </c>
    </row>
    <row r="30">
      <c r="A30" s="13" t="s">
        <v>112</v>
      </c>
      <c r="B30" s="17">
        <f>((B16)+(B28))+(B29)</f>
        <v>37972.32</v>
      </c>
      <c r="C30" s="17">
        <f t="shared" si="2"/>
        <v>37972.32</v>
      </c>
    </row>
    <row r="31">
      <c r="A31" s="13" t="s">
        <v>113</v>
      </c>
      <c r="B31" s="17">
        <f>(B15)+(B30)</f>
        <v>37972.32</v>
      </c>
      <c r="C31" s="17">
        <f t="shared" si="2"/>
        <v>37972.32</v>
      </c>
    </row>
    <row r="32">
      <c r="A32" s="13" t="s">
        <v>114</v>
      </c>
      <c r="B32" s="17">
        <f>B31</f>
        <v>37972.32</v>
      </c>
      <c r="C32" s="17">
        <f t="shared" si="2"/>
        <v>37972.32</v>
      </c>
    </row>
    <row r="33">
      <c r="A33" s="13" t="s">
        <v>115</v>
      </c>
      <c r="B33" s="20">
        <f>(B13)-(B32)</f>
        <v>-12073.96</v>
      </c>
      <c r="C33" s="20">
        <f t="shared" si="2"/>
        <v>-12073.96</v>
      </c>
    </row>
    <row r="34">
      <c r="A34" s="13" t="s">
        <v>4</v>
      </c>
      <c r="B34" s="20">
        <f>(B33)+(0)</f>
        <v>-12073.96</v>
      </c>
      <c r="C34" s="20">
        <f t="shared" si="2"/>
        <v>-12073.96</v>
      </c>
    </row>
    <row r="35">
      <c r="A35" s="13"/>
      <c r="B35" s="14"/>
      <c r="C35" s="14"/>
    </row>
    <row r="36"/>
    <row r="37"/>
    <row r="38">
      <c r="A38" s="19" t="s">
        <v>199</v>
      </c>
    </row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8:C38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200</v>
      </c>
    </row>
    <row r="3">
      <c r="A3" s="9" t="s">
        <v>201</v>
      </c>
    </row>
    <row r="5">
      <c r="A5" s="10"/>
      <c r="B5" s="11" t="s">
        <v>9</v>
      </c>
    </row>
    <row r="6">
      <c r="A6" s="13" t="s">
        <v>14</v>
      </c>
      <c r="B6" s="14"/>
    </row>
    <row r="7">
      <c r="A7" s="13" t="s">
        <v>16</v>
      </c>
      <c r="B7" s="14"/>
    </row>
    <row r="8">
      <c r="A8" s="13" t="s">
        <v>17</v>
      </c>
      <c r="B8" s="15">
        <f>13600</f>
        <v>13600</v>
      </c>
    </row>
    <row r="9">
      <c r="A9" s="13" t="s">
        <v>18</v>
      </c>
      <c r="B9" s="17">
        <f>(B7)+(B8)</f>
        <v>13600</v>
      </c>
    </row>
    <row r="10">
      <c r="A10" s="13" t="s">
        <v>22</v>
      </c>
      <c r="B10" s="14"/>
    </row>
    <row r="11">
      <c r="A11" s="13" t="s">
        <v>23</v>
      </c>
      <c r="B11" s="15">
        <f>30000</f>
        <v>30000</v>
      </c>
    </row>
    <row r="12">
      <c r="A12" s="13" t="s">
        <v>24</v>
      </c>
      <c r="B12" s="15">
        <f>15000</f>
        <v>15000</v>
      </c>
    </row>
    <row r="13">
      <c r="A13" s="13" t="s">
        <v>25</v>
      </c>
      <c r="B13" s="15">
        <f>5155</f>
        <v>5155</v>
      </c>
    </row>
    <row r="14">
      <c r="A14" s="13" t="s">
        <v>26</v>
      </c>
      <c r="B14" s="15">
        <f>5154</f>
        <v>5154</v>
      </c>
    </row>
    <row r="15">
      <c r="A15" s="13" t="s">
        <v>27</v>
      </c>
      <c r="B15" s="15">
        <f>66534</f>
        <v>66534</v>
      </c>
    </row>
    <row r="16">
      <c r="A16" s="13" t="s">
        <v>28</v>
      </c>
      <c r="B16" s="15">
        <f>5172</f>
        <v>5172</v>
      </c>
    </row>
    <row r="17">
      <c r="A17" s="13" t="s">
        <v>30</v>
      </c>
      <c r="B17" s="15">
        <f>5148</f>
        <v>5148</v>
      </c>
    </row>
    <row r="18">
      <c r="A18" s="13" t="s">
        <v>31</v>
      </c>
      <c r="B18" s="15">
        <f>5152</f>
        <v>5152</v>
      </c>
    </row>
    <row r="19">
      <c r="A19" s="13" t="s">
        <v>34</v>
      </c>
      <c r="B19" s="15">
        <f t="shared" ref="B19:B20" si="1">19476</f>
        <v>19476</v>
      </c>
    </row>
    <row r="20">
      <c r="A20" s="13" t="s">
        <v>35</v>
      </c>
      <c r="B20" s="15">
        <f t="shared" si="1"/>
        <v>19476</v>
      </c>
    </row>
    <row r="21">
      <c r="A21" s="13" t="s">
        <v>36</v>
      </c>
      <c r="B21" s="15">
        <f>37680</f>
        <v>37680</v>
      </c>
    </row>
    <row r="22">
      <c r="A22" s="13" t="s">
        <v>37</v>
      </c>
      <c r="B22" s="15">
        <f>9753</f>
        <v>9753</v>
      </c>
    </row>
    <row r="23">
      <c r="A23" s="13" t="s">
        <v>38</v>
      </c>
      <c r="B23" s="15">
        <f>9749</f>
        <v>9749</v>
      </c>
    </row>
    <row r="24">
      <c r="A24" s="13" t="s">
        <v>39</v>
      </c>
      <c r="B24" s="15">
        <f>5154</f>
        <v>5154</v>
      </c>
    </row>
    <row r="25">
      <c r="A25" s="13" t="s">
        <v>40</v>
      </c>
      <c r="B25" s="17">
        <f>((((((((((((((B10)+(B11))+(B12))+(B13))+(B14))+(B15))+(B16))+(B17))+(B18))+(B19))+(B20))+(B21))+(B22))+(B23))+(B24)</f>
        <v>238603</v>
      </c>
    </row>
    <row r="26">
      <c r="A26" s="13" t="s">
        <v>41</v>
      </c>
      <c r="B26" s="14"/>
    </row>
    <row r="27">
      <c r="A27" s="13" t="s">
        <v>43</v>
      </c>
      <c r="B27" s="14"/>
    </row>
    <row r="28">
      <c r="A28" s="13" t="s">
        <v>44</v>
      </c>
      <c r="B28" s="15">
        <f>110000</f>
        <v>110000</v>
      </c>
    </row>
    <row r="29">
      <c r="A29" s="13" t="s">
        <v>45</v>
      </c>
      <c r="B29" s="15">
        <f>53573</f>
        <v>53573</v>
      </c>
    </row>
    <row r="30">
      <c r="A30" s="13" t="s">
        <v>48</v>
      </c>
      <c r="B30" s="17">
        <f>((B27)+(B28))+(B29)</f>
        <v>163573</v>
      </c>
    </row>
    <row r="31">
      <c r="A31" s="13" t="s">
        <v>49</v>
      </c>
      <c r="B31" s="17">
        <f>(B26)+(B30)</f>
        <v>163573</v>
      </c>
    </row>
    <row r="32">
      <c r="A32" s="13" t="s">
        <v>2</v>
      </c>
      <c r="B32" s="17">
        <f>((B9)+(B25))+(B31)</f>
        <v>415776</v>
      </c>
    </row>
    <row r="33">
      <c r="A33" s="13" t="s">
        <v>50</v>
      </c>
      <c r="B33" s="17">
        <f>(B32)-(0)</f>
        <v>415776</v>
      </c>
    </row>
    <row r="34">
      <c r="A34" s="13" t="s">
        <v>51</v>
      </c>
      <c r="B34" s="14"/>
    </row>
    <row r="35">
      <c r="A35" s="13" t="s">
        <v>52</v>
      </c>
      <c r="B35" s="14"/>
    </row>
    <row r="36">
      <c r="A36" s="13" t="s">
        <v>53</v>
      </c>
      <c r="B36" s="14"/>
    </row>
    <row r="37">
      <c r="A37" s="13" t="s">
        <v>54</v>
      </c>
      <c r="B37" s="15">
        <f>3000</f>
        <v>3000</v>
      </c>
    </row>
    <row r="38">
      <c r="A38" s="13" t="s">
        <v>55</v>
      </c>
      <c r="B38" s="15">
        <f>18000</f>
        <v>18000</v>
      </c>
    </row>
    <row r="39">
      <c r="A39" s="13" t="s">
        <v>56</v>
      </c>
      <c r="B39" s="17">
        <f>((B36)+(B37))+(B38)</f>
        <v>21000</v>
      </c>
    </row>
    <row r="40">
      <c r="A40" s="13" t="s">
        <v>59</v>
      </c>
      <c r="B40" s="15">
        <f>600</f>
        <v>600</v>
      </c>
    </row>
    <row r="41">
      <c r="A41" s="13" t="s">
        <v>60</v>
      </c>
      <c r="B41" s="15">
        <f>12000</f>
        <v>12000</v>
      </c>
    </row>
    <row r="42">
      <c r="A42" s="13" t="s">
        <v>61</v>
      </c>
      <c r="B42" s="15">
        <f>3000</f>
        <v>3000</v>
      </c>
    </row>
    <row r="43">
      <c r="A43" s="13" t="s">
        <v>62</v>
      </c>
      <c r="B43" s="15">
        <f>15600</f>
        <v>15600</v>
      </c>
    </row>
    <row r="44">
      <c r="A44" s="13" t="s">
        <v>63</v>
      </c>
      <c r="B44" s="15">
        <f>1200</f>
        <v>1200</v>
      </c>
    </row>
    <row r="45">
      <c r="A45" s="13" t="s">
        <v>64</v>
      </c>
      <c r="B45" s="15">
        <f>100</f>
        <v>100</v>
      </c>
    </row>
    <row r="46">
      <c r="A46" s="13" t="s">
        <v>65</v>
      </c>
      <c r="B46" s="15">
        <f>300</f>
        <v>300</v>
      </c>
    </row>
    <row r="47">
      <c r="A47" s="13" t="s">
        <v>67</v>
      </c>
      <c r="B47" s="15">
        <f>1251</f>
        <v>1251</v>
      </c>
    </row>
    <row r="48">
      <c r="A48" s="13" t="s">
        <v>68</v>
      </c>
      <c r="B48" s="15">
        <f>240</f>
        <v>240</v>
      </c>
    </row>
    <row r="49">
      <c r="A49" s="13" t="s">
        <v>69</v>
      </c>
      <c r="B49" s="14"/>
    </row>
    <row r="50">
      <c r="A50" s="13" t="s">
        <v>70</v>
      </c>
      <c r="B50" s="15">
        <f>1000</f>
        <v>1000</v>
      </c>
    </row>
    <row r="51">
      <c r="A51" s="13" t="s">
        <v>72</v>
      </c>
      <c r="B51" s="17">
        <f>(B49)+(B50)</f>
        <v>1000</v>
      </c>
    </row>
    <row r="52">
      <c r="A52" s="13" t="s">
        <v>73</v>
      </c>
      <c r="B52" s="15">
        <f>900</f>
        <v>900</v>
      </c>
    </row>
    <row r="53">
      <c r="A53" s="13" t="s">
        <v>74</v>
      </c>
      <c r="B53" s="17">
        <f>((((((((((((B35)+(B39))+(B40))+(B41))+(B42))+(B43))+(B44))+(B45))+(B46))+(B47))+(B48))+(B51))+(B52)</f>
        <v>57191</v>
      </c>
    </row>
    <row r="54">
      <c r="A54" s="13" t="s">
        <v>76</v>
      </c>
      <c r="B54" s="14"/>
    </row>
    <row r="55">
      <c r="A55" s="13" t="s">
        <v>77</v>
      </c>
      <c r="B55" s="14"/>
    </row>
    <row r="56">
      <c r="A56" s="13" t="s">
        <v>78</v>
      </c>
      <c r="B56" s="14"/>
    </row>
    <row r="57">
      <c r="A57" s="13" t="s">
        <v>79</v>
      </c>
      <c r="B57" s="15">
        <f>0</f>
        <v>0</v>
      </c>
    </row>
    <row r="58">
      <c r="A58" s="13" t="s">
        <v>80</v>
      </c>
      <c r="B58" s="15">
        <f>24000</f>
        <v>24000</v>
      </c>
    </row>
    <row r="59">
      <c r="A59" s="13" t="s">
        <v>81</v>
      </c>
      <c r="B59" s="15">
        <f>12000</f>
        <v>12000</v>
      </c>
    </row>
    <row r="60">
      <c r="A60" s="13" t="s">
        <v>82</v>
      </c>
      <c r="B60" s="15">
        <f>4319</f>
        <v>4319</v>
      </c>
    </row>
    <row r="61">
      <c r="A61" s="13" t="s">
        <v>83</v>
      </c>
      <c r="B61" s="15">
        <f>4318</f>
        <v>4318</v>
      </c>
    </row>
    <row r="62">
      <c r="A62" s="13" t="s">
        <v>84</v>
      </c>
      <c r="B62" s="15">
        <f>31558</f>
        <v>31558</v>
      </c>
    </row>
    <row r="63">
      <c r="A63" s="13" t="s">
        <v>86</v>
      </c>
      <c r="B63" s="15">
        <f>4334</f>
        <v>4334</v>
      </c>
    </row>
    <row r="64">
      <c r="A64" s="13" t="s">
        <v>87</v>
      </c>
      <c r="B64" s="15">
        <f>4313</f>
        <v>4313</v>
      </c>
    </row>
    <row r="65">
      <c r="A65" s="13" t="s">
        <v>88</v>
      </c>
      <c r="B65" s="15">
        <f>4317</f>
        <v>4317</v>
      </c>
    </row>
    <row r="66">
      <c r="A66" s="13" t="s">
        <v>89</v>
      </c>
      <c r="B66" s="15">
        <f t="shared" ref="B66:B67" si="2">16282</f>
        <v>16282</v>
      </c>
    </row>
    <row r="67">
      <c r="A67" s="13" t="s">
        <v>90</v>
      </c>
      <c r="B67" s="15">
        <f t="shared" si="2"/>
        <v>16282</v>
      </c>
    </row>
    <row r="68">
      <c r="A68" s="13" t="s">
        <v>91</v>
      </c>
      <c r="B68" s="15">
        <f>8150</f>
        <v>8150</v>
      </c>
    </row>
    <row r="69">
      <c r="A69" s="13" t="s">
        <v>92</v>
      </c>
      <c r="B69" s="15">
        <f>8154</f>
        <v>8154</v>
      </c>
    </row>
    <row r="70">
      <c r="A70" s="13" t="s">
        <v>93</v>
      </c>
      <c r="B70" s="15">
        <f>4318</f>
        <v>4318</v>
      </c>
    </row>
    <row r="71">
      <c r="A71" s="13" t="s">
        <v>94</v>
      </c>
      <c r="B71" s="17">
        <f>((((((((((((((B56)+(B57))+(B58))+(B59))+(B60))+(B61))+(B62))+(B63))+(B64))+(B65))+(B66))+(B67))+(B68))+(B69))+(B70)</f>
        <v>142345</v>
      </c>
    </row>
    <row r="72">
      <c r="A72" s="13" t="s">
        <v>95</v>
      </c>
      <c r="B72" s="17">
        <f>(B55)+(B71)</f>
        <v>142345</v>
      </c>
    </row>
    <row r="73">
      <c r="A73" s="13" t="s">
        <v>96</v>
      </c>
      <c r="B73" s="15">
        <f>5895</f>
        <v>5895</v>
      </c>
    </row>
    <row r="74">
      <c r="A74" s="13" t="s">
        <v>97</v>
      </c>
      <c r="B74" s="14"/>
    </row>
    <row r="75">
      <c r="A75" s="13" t="s">
        <v>98</v>
      </c>
      <c r="B75" s="14"/>
    </row>
    <row r="76">
      <c r="A76" s="13" t="s">
        <v>99</v>
      </c>
      <c r="B76" s="15">
        <f>100000</f>
        <v>100000</v>
      </c>
    </row>
    <row r="77">
      <c r="A77" s="13" t="s">
        <v>100</v>
      </c>
      <c r="B77" s="15">
        <f>36703</f>
        <v>36703</v>
      </c>
    </row>
    <row r="78">
      <c r="A78" s="13" t="s">
        <v>110</v>
      </c>
      <c r="B78" s="17">
        <f>((B75)+(B76))+(B77)</f>
        <v>136703</v>
      </c>
    </row>
    <row r="79">
      <c r="A79" s="13" t="s">
        <v>112</v>
      </c>
      <c r="B79" s="17">
        <f>(B74)+(B78)</f>
        <v>136703</v>
      </c>
    </row>
    <row r="80">
      <c r="A80" s="13" t="s">
        <v>113</v>
      </c>
      <c r="B80" s="17">
        <f>(((B54)+(B72))+(B73))+(B79)</f>
        <v>284943</v>
      </c>
    </row>
    <row r="81">
      <c r="A81" s="13" t="s">
        <v>114</v>
      </c>
      <c r="B81" s="17">
        <f>(B53)+(B80)</f>
        <v>342134</v>
      </c>
    </row>
    <row r="82">
      <c r="A82" s="13" t="s">
        <v>115</v>
      </c>
      <c r="B82" s="17">
        <f>(B33)-(B81)</f>
        <v>73642</v>
      </c>
    </row>
    <row r="83">
      <c r="A83" s="13" t="s">
        <v>4</v>
      </c>
      <c r="B83" s="17">
        <f>(B82)+(0)</f>
        <v>73642</v>
      </c>
    </row>
    <row r="84">
      <c r="A84" s="13"/>
      <c r="B84" s="14"/>
    </row>
    <row r="85"/>
    <row r="86"/>
    <row r="87">
      <c r="A87" s="19" t="s">
        <v>202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87:B87"/>
  </mergeCells>
  <printOptions/>
  <pageMargins bottom="0.75" footer="0.0" header="0.0" left="0.7" right="0.7" top="0.75"/>
  <pageSetup orientation="landscape"/>
  <drawing r:id="rId1"/>
</worksheet>
</file>