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RCD FY P&amp;L 25" sheetId="1" r:id="rId4"/>
    <sheet state="visible" name="A P Aging Summary" sheetId="2" r:id="rId5"/>
    <sheet state="visible" name="A R Aging Summary" sheetId="3" r:id="rId6"/>
    <sheet state="visible" name="RCD P&amp;L Aug25" sheetId="4" r:id="rId7"/>
    <sheet state="visible" name="RCD BalSheet Aug25" sheetId="5" r:id="rId8"/>
    <sheet state="visible" name="RCD P&amp;L Class Aug25" sheetId="6" r:id="rId9"/>
    <sheet state="visible" name="RCD P&amp;L July25" sheetId="7" r:id="rId10"/>
    <sheet state="visible" name="RCD BalSheet July25" sheetId="8" r:id="rId11"/>
    <sheet state="visible" name="RCD P&amp;L Class July25" sheetId="9" r:id="rId12"/>
    <sheet state="visible" name="RCD P&amp;L June25" sheetId="10" r:id="rId13"/>
    <sheet state="visible" name="RCD BalSheet June25" sheetId="11" r:id="rId14"/>
    <sheet state="visible" name="TEAM RCD P&amp;L Class June 25" sheetId="12" r:id="rId15"/>
  </sheets>
  <definedNames/>
  <calcPr/>
</workbook>
</file>

<file path=xl/sharedStrings.xml><?xml version="1.0" encoding="utf-8"?>
<sst xmlns="http://schemas.openxmlformats.org/spreadsheetml/2006/main" count="629" uniqueCount="185">
  <si>
    <t>Temecula-Elsinore-Anza-Murrieta Resource Conservation District</t>
  </si>
  <si>
    <t>Profit and Loss</t>
  </si>
  <si>
    <t>July - August, 2025</t>
  </si>
  <si>
    <t>Jul 2025</t>
  </si>
  <si>
    <t>Aug 2025</t>
  </si>
  <si>
    <t>Total</t>
  </si>
  <si>
    <t>Income</t>
  </si>
  <si>
    <t xml:space="preserve">   RCFC Pilot Projects</t>
  </si>
  <si>
    <t xml:space="preserve">      Helash Mitigation Site</t>
  </si>
  <si>
    <t xml:space="preserve">      Hildy</t>
  </si>
  <si>
    <t xml:space="preserve">      Lake Elsinore</t>
  </si>
  <si>
    <t xml:space="preserve">      Morgan Valley Wash</t>
  </si>
  <si>
    <t xml:space="preserve">      Murrieta Creek - Line F</t>
  </si>
  <si>
    <t xml:space="preserve">      Palomar Corydon Channel</t>
  </si>
  <si>
    <t xml:space="preserve">      Planning &amp; Compliance</t>
  </si>
  <si>
    <t xml:space="preserve">      Project Development</t>
  </si>
  <si>
    <t xml:space="preserve">      Santa Gertrudis Creek</t>
  </si>
  <si>
    <t xml:space="preserve">      Temecula Creek AD 159</t>
  </si>
  <si>
    <t xml:space="preserve">      Transient Monitoring</t>
  </si>
  <si>
    <t xml:space="preserve">      Warm Springs/Benton Channel</t>
  </si>
  <si>
    <t xml:space="preserve">      Warm Springs/French Valley</t>
  </si>
  <si>
    <t xml:space="preserve">      Wildomar Channel</t>
  </si>
  <si>
    <t xml:space="preserve">   Total RCFC Pilot Projects</t>
  </si>
  <si>
    <t>Total Income</t>
  </si>
  <si>
    <t>Gross Profit</t>
  </si>
  <si>
    <t>Expenses</t>
  </si>
  <si>
    <t xml:space="preserve">   General and Administration</t>
  </si>
  <si>
    <t xml:space="preserve">      Accounting Fees</t>
  </si>
  <si>
    <t xml:space="preserve">         Audit and Audit Documentation</t>
  </si>
  <si>
    <t xml:space="preserve">         Bookkeeping</t>
  </si>
  <si>
    <t xml:space="preserve">      Total Accounting Fees</t>
  </si>
  <si>
    <t xml:space="preserve">      Administrative Consulting</t>
  </si>
  <si>
    <t xml:space="preserve">      Computer, Data and Software</t>
  </si>
  <si>
    <t xml:space="preserve">      Legal Fees</t>
  </si>
  <si>
    <t xml:space="preserve">      Quickbooks-Accounting</t>
  </si>
  <si>
    <t xml:space="preserve">      Storage</t>
  </si>
  <si>
    <t xml:space="preserve">      Telephone, Telecommunications</t>
  </si>
  <si>
    <t xml:space="preserve">      Travel and Meetings</t>
  </si>
  <si>
    <t xml:space="preserve">         Conference, Convention, Meeting</t>
  </si>
  <si>
    <t xml:space="preserve">      Total Travel and Meetings</t>
  </si>
  <si>
    <t xml:space="preserve">      Website Expenses</t>
  </si>
  <si>
    <t xml:space="preserve">   Total General and Administration</t>
  </si>
  <si>
    <t xml:space="preserve">   License and Permit</t>
  </si>
  <si>
    <t xml:space="preserve">   SERVICE COSTS</t>
  </si>
  <si>
    <t xml:space="preserve">      Contract Services</t>
  </si>
  <si>
    <t xml:space="preserve">         RFC FACILITIES</t>
  </si>
  <si>
    <t xml:space="preserve">            HELASH</t>
  </si>
  <si>
    <t xml:space="preserve">            HILDY</t>
  </si>
  <si>
    <t xml:space="preserve">            HOMELESS MONITORING</t>
  </si>
  <si>
    <t xml:space="preserve">            MORGAN VALLEY WASH</t>
  </si>
  <si>
    <t xml:space="preserve">            MURRIETA CREEK LINE F</t>
  </si>
  <si>
    <t xml:space="preserve">            MURRIETA CREEK-TEMECULA PHASE IIA</t>
  </si>
  <si>
    <t xml:space="preserve">            PALOMAR-CORYDON CHANNEL</t>
  </si>
  <si>
    <t xml:space="preserve">            SANTA GERTRUDIS CREEK</t>
  </si>
  <si>
    <t xml:space="preserve">            TEMECULA CREEK AD 159</t>
  </si>
  <si>
    <t xml:space="preserve">            TUCALOTA CREEK 3</t>
  </si>
  <si>
    <t xml:space="preserve">            TUCALOTA CREEK I &amp; II</t>
  </si>
  <si>
    <t xml:space="preserve">            VV CHANNEL</t>
  </si>
  <si>
    <t xml:space="preserve">            WARM SPRINGS / FRENCH VALLEY</t>
  </si>
  <si>
    <t xml:space="preserve">            WARM SPRINGS/BENTON CHANNEL</t>
  </si>
  <si>
    <t xml:space="preserve">            WILDOMAR CHANNEL</t>
  </si>
  <si>
    <t xml:space="preserve">         Total RFC FACILITIES</t>
  </si>
  <si>
    <t xml:space="preserve">      Total Contract Services</t>
  </si>
  <si>
    <t xml:space="preserve">      Grant Administration Expense</t>
  </si>
  <si>
    <t xml:space="preserve">         Consultants and Contracts</t>
  </si>
  <si>
    <t xml:space="preserve">            Conservation Tech</t>
  </si>
  <si>
    <t xml:space="preserve">            Irrigation Mobile Lab</t>
  </si>
  <si>
    <t xml:space="preserve">               Irrigation Evaluations</t>
  </si>
  <si>
    <t xml:space="preserve">               Soil Testing</t>
  </si>
  <si>
    <t xml:space="preserve">            Total Irrigation Mobile Lab</t>
  </si>
  <si>
    <t xml:space="preserve">            NRCS Training and Support</t>
  </si>
  <si>
    <t xml:space="preserve">            Outreach and Workshop Support</t>
  </si>
  <si>
    <t xml:space="preserve">            Program Management</t>
  </si>
  <si>
    <t xml:space="preserve">         Total Consultants and Contracts</t>
  </si>
  <si>
    <t xml:space="preserve">         Supplies, Equipment and Promotion</t>
  </si>
  <si>
    <t xml:space="preserve">      Total Grant Administration Expense</t>
  </si>
  <si>
    <t xml:space="preserve">   Total SERVICE COSTS</t>
  </si>
  <si>
    <t>Total Expenses</t>
  </si>
  <si>
    <t>Net Operating Income</t>
  </si>
  <si>
    <t>Net Income</t>
  </si>
  <si>
    <t>Thursday, Sep 11, 2025 01:40:10 PM GMT-7 - Accrual Basis</t>
  </si>
  <si>
    <t>A/P Aging Summary</t>
  </si>
  <si>
    <t>As of August 31, 2025</t>
  </si>
  <si>
    <t>Current</t>
  </si>
  <si>
    <t>1 - 30</t>
  </si>
  <si>
    <t>31 - 60</t>
  </si>
  <si>
    <t>61 - 90</t>
  </si>
  <si>
    <t>91 and over</t>
  </si>
  <si>
    <t>Nigro and Nigro</t>
  </si>
  <si>
    <t>QuickBooks</t>
  </si>
  <si>
    <t>Riverside Office of County Counsel</t>
  </si>
  <si>
    <t>TOTAL</t>
  </si>
  <si>
    <t>Thursday, Sep 11, 2025 01:38:42 PM GMT-7</t>
  </si>
  <si>
    <t>A/R Aging Summary</t>
  </si>
  <si>
    <t>CDFA</t>
  </si>
  <si>
    <t xml:space="preserve">   WETA 2024-2025</t>
  </si>
  <si>
    <t>Total CDFA</t>
  </si>
  <si>
    <t>NRCS</t>
  </si>
  <si>
    <t>RCFC</t>
  </si>
  <si>
    <t>Thursday, Sep 11, 2025 01:37:33 PM GMT-7</t>
  </si>
  <si>
    <t>August 2025</t>
  </si>
  <si>
    <t>Thursday, Sep 11, 2025 01:34:09 PM GMT-7 - Accrual Basis</t>
  </si>
  <si>
    <t>Balance Sheet</t>
  </si>
  <si>
    <t>ASSETS</t>
  </si>
  <si>
    <t xml:space="preserve">   Current Assets</t>
  </si>
  <si>
    <t xml:space="preserve">      Bank Accounts</t>
  </si>
  <si>
    <t xml:space="preserve">         Chase CD</t>
  </si>
  <si>
    <t xml:space="preserve">            Chase CD - Benton  Channel</t>
  </si>
  <si>
    <t xml:space="preserve">            Chase CD - Greer Ranch</t>
  </si>
  <si>
    <t xml:space="preserve">            Chase CD Interest - 0618</t>
  </si>
  <si>
    <t xml:space="preserve">         Total Chase CD</t>
  </si>
  <si>
    <t xml:space="preserve">         Checking/Savings</t>
  </si>
  <si>
    <t xml:space="preserve">            Chase Flood - 0600</t>
  </si>
  <si>
    <t xml:space="preserve">            Chase General - 0592</t>
  </si>
  <si>
    <t xml:space="preserve">            Chase Platinum - 9070</t>
  </si>
  <si>
    <t xml:space="preserve">         Total Checking/Savings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</si>
  <si>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</si>
  <si>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</si>
  <si>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</si>
  <si>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</si>
  <si>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</si>
  <si>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Clearing</t>
  </si>
  <si>
    <t xml:space="preserve">         Interest Receivable</t>
  </si>
  <si>
    <t xml:space="preserve">         Other Receivable</t>
  </si>
  <si>
    <t xml:space="preserve">         Prepaid Insurance</t>
  </si>
  <si>
    <t xml:space="preserve">         Prepaid Rent</t>
  </si>
  <si>
    <t xml:space="preserve">         Uncategorized Asset</t>
  </si>
  <si>
    <t xml:space="preserve">         Undeposited Funds</t>
  </si>
  <si>
    <t xml:space="preserve">      Total Other Current Assets</t>
  </si>
  <si>
    <t xml:space="preserve">   Total Current Assets</t>
  </si>
  <si>
    <t xml:space="preserve">   Fixed Assets</t>
  </si>
  <si>
    <t xml:space="preserve">      Adeline Farms Easement</t>
  </si>
  <si>
    <t xml:space="preserve">      Clinton Keith Land</t>
  </si>
  <si>
    <t xml:space="preserve">      Greer Ranch Easement</t>
  </si>
  <si>
    <t xml:space="preserve">   Total Fixed Assets</t>
  </si>
  <si>
    <t xml:space="preserve">   Other Assets</t>
  </si>
  <si>
    <t xml:space="preserve">      Other Assets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</si>
  <si>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</si>
  <si>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</si>
  <si>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</si>
  <si>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</si>
  <si>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</si>
  <si>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</si>
  <si>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</si>
  <si>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</si>
  <si>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   Credit Cards</t>
  </si>
  <si>
    <t xml:space="preserve">            AMEX 41005</t>
  </si>
  <si>
    <t xml:space="preserve">            Chase 8053</t>
  </si>
  <si>
    <t xml:space="preserve">         Total Credit Cards</t>
  </si>
  <si>
    <t xml:space="preserve">         Other Current Liabilities</t>
  </si>
  <si>
    <t xml:space="preserve">            California Department of Tax and Fee Administration Payable</t>
  </si>
  <si>
    <t xml:space="preserve">            Deposits Payable</t>
  </si>
  <si>
    <t xml:space="preserve">            Out Of Scope Agency Payable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</si>
  <si>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</si>
  <si>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</si>
  <si>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</si>
  <si>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</si>
  <si>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</si>
  <si>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</si>
  <si>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</si>
  <si>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</si>
  <si>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</si>
  <si>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Thursday, Sep 11, 2025 01:35:29 PM GMT-7 - Accrual Basis</t>
  </si>
  <si>
    <t>Not Specified</t>
  </si>
  <si>
    <t>Thursday, Sep 11, 2025 01:33:54 PM GMT-7 - Accrual Basis</t>
  </si>
  <si>
    <t>July 2025</t>
  </si>
  <si>
    <t>Thursday, Sep 11, 2025 01:30:54 PM GMT-7 - Accrual Basis</t>
  </si>
  <si>
    <t>As of July 30, 2025</t>
  </si>
  <si>
    <t>Thursday, Sep 11, 2025 01:29:19 PM GMT-7 - Accrual Basis</t>
  </si>
  <si>
    <t>2023-2024 NRCS</t>
  </si>
  <si>
    <t>2024 WETA</t>
  </si>
  <si>
    <t>Thursday, Sep 11, 2025 01:31:05 PM GMT-7 - Accrual Basis</t>
  </si>
  <si>
    <t>June 2025</t>
  </si>
  <si>
    <t xml:space="preserve">   Service/Fee Income</t>
  </si>
  <si>
    <t xml:space="preserve">      Grant Revenue</t>
  </si>
  <si>
    <t xml:space="preserve">         Outreach and Workshop Support</t>
  </si>
  <si>
    <t xml:space="preserve">         Program Promotion</t>
  </si>
  <si>
    <t xml:space="preserve">      Total Grant Revenue</t>
  </si>
  <si>
    <t xml:space="preserve">   Total Service/Fee Income</t>
  </si>
  <si>
    <t xml:space="preserve">      Insurance - Liability, D and O</t>
  </si>
  <si>
    <t xml:space="preserve">               Pump Efficiency Tests</t>
  </si>
  <si>
    <t>Thursday, Sep 11, 2025 01:26:44 PM GMT-7 - Accrual Basis</t>
  </si>
  <si>
    <t>As of June 30, 2025</t>
  </si>
  <si>
    <t>Thursday, Sep 11, 2025 01:27:55 PM GMT-7 - Accrual Basis</t>
  </si>
  <si>
    <t>Thursday, Sep 11, 2025 01:24:43 PM GMT-7 - Accrual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</si>
</sst>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_€"/>
    <numFmt numFmtId="165" formatCode="&quot;$&quot;* #,##0.00\ _€"/>
  </numFmts>
  <fonts count="7">
    <font>
      <sz val="10.0"/>
      <color rgb="FF000000"/>
      <name val="Calibri"/>
      <scheme val="minor"/>
    </font>
    <font>
      <b/>
      <sz val="14.0"/>
      <color rgb="FF000000"/>
      <name val="Arial"/>
    </font>
    <font>
      <b/>
      <sz val="10.0"/>
      <color rgb="FF000000"/>
      <name val="Arial"/>
    </font>
    <font>
      <sz val="11.0"/>
      <color rgb="FF000000"/>
      <name val="Calibri"/>
    </font>
    <font>
      <b/>
      <sz val="9.0"/>
      <color rgb="FF000000"/>
      <name val="Arial"/>
    </font>
    <font>
      <b/>
      <sz val="8.0"/>
      <color rgb="FF000000"/>
      <name val="Arial"/>
    </font>
    <font>
      <sz val="8.0"/>
      <color rgb="FF000000"/>
      <name val="Arial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0"/>
    </xf>
    <xf borderId="0" fillId="0" fontId="2" numFmtId="0" xfId="0" applyAlignment="1" applyFont="1">
      <alignment horizontal="center" shrinkToFit="0" wrapText="0"/>
    </xf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left" shrinkToFit="0" wrapText="1"/>
    </xf>
    <xf borderId="0" fillId="0" fontId="6" numFmtId="164" xfId="0" applyAlignment="1" applyFont="1" applyNumberFormat="1">
      <alignment shrinkToFit="0" wrapText="1"/>
    </xf>
    <xf borderId="0" fillId="0" fontId="6" numFmtId="164" xfId="0" applyAlignment="1" applyFont="1" applyNumberFormat="1">
      <alignment horizontal="right" shrinkToFit="0" wrapText="1"/>
    </xf>
    <xf borderId="2" fillId="0" fontId="5" numFmtId="165" xfId="0" applyAlignment="1" applyBorder="1" applyFont="1" applyNumberFormat="1">
      <alignment horizontal="right" shrinkToFit="0" wrapText="1"/>
    </xf>
    <xf borderId="0" fillId="0" fontId="6" numFmtId="0" xfId="0" applyAlignment="1" applyFont="1">
      <alignment horizontal="center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39.57"/>
    <col customWidth="1" min="2" max="4" width="27.43"/>
    <col customWidth="1" min="5" max="26" width="8.71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5">
      <c r="A5" s="3"/>
      <c r="B5" s="4" t="s">
        <v>3</v>
      </c>
      <c r="C5" s="4" t="s">
        <v>4</v>
      </c>
      <c r="D5" s="4" t="s">
        <v>5</v>
      </c>
    </row>
    <row r="6">
      <c r="A6" s="5" t="s">
        <v>6</v>
      </c>
      <c r="B6" s="6"/>
      <c r="C6" s="6"/>
      <c r="D6" s="6"/>
    </row>
    <row r="7">
      <c r="A7" s="5" t="s">
        <v>7</v>
      </c>
      <c r="B7" s="6"/>
      <c r="C7" s="6"/>
      <c r="D7" s="7">
        <f t="shared" ref="D7:D24" si="1">(B7)+(C7)</f>
        <v>0</v>
      </c>
    </row>
    <row r="8">
      <c r="A8" s="5" t="s">
        <v>8</v>
      </c>
      <c r="B8" s="6"/>
      <c r="C8" s="7">
        <f t="shared" ref="C8:C9" si="2">2577.08</f>
        <v>2577.08</v>
      </c>
      <c r="D8" s="7">
        <f t="shared" si="1"/>
        <v>2577.08</v>
      </c>
    </row>
    <row r="9">
      <c r="A9" s="5" t="s">
        <v>9</v>
      </c>
      <c r="B9" s="6"/>
      <c r="C9" s="7">
        <f t="shared" si="2"/>
        <v>2577.08</v>
      </c>
      <c r="D9" s="7">
        <f t="shared" si="1"/>
        <v>2577.08</v>
      </c>
    </row>
    <row r="10">
      <c r="A10" s="5" t="s">
        <v>10</v>
      </c>
      <c r="B10" s="6"/>
      <c r="C10" s="7">
        <f>33266.72</f>
        <v>33266.72</v>
      </c>
      <c r="D10" s="7">
        <f t="shared" si="1"/>
        <v>33266.72</v>
      </c>
    </row>
    <row r="11">
      <c r="A11" s="5" t="s">
        <v>11</v>
      </c>
      <c r="B11" s="6"/>
      <c r="C11" s="7">
        <f>2586.08</f>
        <v>2586.08</v>
      </c>
      <c r="D11" s="7">
        <f t="shared" si="1"/>
        <v>2586.08</v>
      </c>
    </row>
    <row r="12">
      <c r="A12" s="5" t="s">
        <v>12</v>
      </c>
      <c r="B12" s="6"/>
      <c r="C12" s="7">
        <f>2573.85</f>
        <v>2573.85</v>
      </c>
      <c r="D12" s="7">
        <f t="shared" si="1"/>
        <v>2573.85</v>
      </c>
    </row>
    <row r="13">
      <c r="A13" s="5" t="s">
        <v>13</v>
      </c>
      <c r="B13" s="6"/>
      <c r="C13" s="7">
        <f>2576.08</f>
        <v>2576.08</v>
      </c>
      <c r="D13" s="7">
        <f t="shared" si="1"/>
        <v>2576.08</v>
      </c>
    </row>
    <row r="14">
      <c r="A14" s="5" t="s">
        <v>14</v>
      </c>
      <c r="B14" s="6"/>
      <c r="C14" s="7">
        <f>15000</f>
        <v>15000</v>
      </c>
      <c r="D14" s="7">
        <f t="shared" si="1"/>
        <v>15000</v>
      </c>
    </row>
    <row r="15">
      <c r="A15" s="5" t="s">
        <v>15</v>
      </c>
      <c r="B15" s="6"/>
      <c r="C15" s="7">
        <f>8157.31</f>
        <v>8157.31</v>
      </c>
      <c r="D15" s="7">
        <f t="shared" si="1"/>
        <v>8157.31</v>
      </c>
    </row>
    <row r="16">
      <c r="A16" s="5" t="s">
        <v>16</v>
      </c>
      <c r="B16" s="6"/>
      <c r="C16" s="7">
        <f t="shared" ref="C16:C17" si="3">9738.23</f>
        <v>9738.23</v>
      </c>
      <c r="D16" s="7">
        <f t="shared" si="1"/>
        <v>9738.23</v>
      </c>
    </row>
    <row r="17">
      <c r="A17" s="5" t="s">
        <v>17</v>
      </c>
      <c r="B17" s="6"/>
      <c r="C17" s="7">
        <f t="shared" si="3"/>
        <v>9738.23</v>
      </c>
      <c r="D17" s="7">
        <f t="shared" si="1"/>
        <v>9738.23</v>
      </c>
    </row>
    <row r="18">
      <c r="A18" s="5" t="s">
        <v>18</v>
      </c>
      <c r="B18" s="6"/>
      <c r="C18" s="7">
        <f>18839.93</f>
        <v>18839.93</v>
      </c>
      <c r="D18" s="7">
        <f t="shared" si="1"/>
        <v>18839.93</v>
      </c>
    </row>
    <row r="19">
      <c r="A19" s="5" t="s">
        <v>19</v>
      </c>
      <c r="B19" s="6"/>
      <c r="C19" s="7">
        <f>4876.41</f>
        <v>4876.41</v>
      </c>
      <c r="D19" s="7">
        <f t="shared" si="1"/>
        <v>4876.41</v>
      </c>
    </row>
    <row r="20">
      <c r="A20" s="5" t="s">
        <v>20</v>
      </c>
      <c r="B20" s="6"/>
      <c r="C20" s="7">
        <f>4874.4</f>
        <v>4874.4</v>
      </c>
      <c r="D20" s="7">
        <f t="shared" si="1"/>
        <v>4874.4</v>
      </c>
    </row>
    <row r="21">
      <c r="A21" s="5" t="s">
        <v>21</v>
      </c>
      <c r="B21" s="6"/>
      <c r="C21" s="7">
        <f>2577.08</f>
        <v>2577.08</v>
      </c>
      <c r="D21" s="7">
        <f t="shared" si="1"/>
        <v>2577.08</v>
      </c>
    </row>
    <row r="22">
      <c r="A22" s="5" t="s">
        <v>22</v>
      </c>
      <c r="B22" s="8">
        <f t="shared" ref="B22:C22" si="4">((((((((((((((B7)+(B8))+(B9))+(B10))+(B11))+(B12))+(B13))+(B14))+(B15))+(B16))+(B17))+(B18))+(B19))+(B20))+(B21)</f>
        <v>0</v>
      </c>
      <c r="C22" s="8">
        <f t="shared" si="4"/>
        <v>119958.48</v>
      </c>
      <c r="D22" s="8">
        <f t="shared" si="1"/>
        <v>119958.48</v>
      </c>
    </row>
    <row r="23">
      <c r="A23" s="5" t="s">
        <v>23</v>
      </c>
      <c r="B23" s="8">
        <f t="shared" ref="B23:C23" si="5">B22</f>
        <v>0</v>
      </c>
      <c r="C23" s="8">
        <f t="shared" si="5"/>
        <v>119958.48</v>
      </c>
      <c r="D23" s="8">
        <f t="shared" si="1"/>
        <v>119958.48</v>
      </c>
    </row>
    <row r="24">
      <c r="A24" s="5" t="s">
        <v>24</v>
      </c>
      <c r="B24" s="8">
        <f t="shared" ref="B24:C24" si="6">(B23)-(0)</f>
        <v>0</v>
      </c>
      <c r="C24" s="8">
        <f t="shared" si="6"/>
        <v>119958.48</v>
      </c>
      <c r="D24" s="8">
        <f t="shared" si="1"/>
        <v>119958.48</v>
      </c>
    </row>
    <row r="25">
      <c r="A25" s="5" t="s">
        <v>25</v>
      </c>
      <c r="B25" s="6"/>
      <c r="C25" s="6"/>
      <c r="D25" s="6"/>
    </row>
    <row r="26">
      <c r="A26" s="5" t="s">
        <v>26</v>
      </c>
      <c r="B26" s="6"/>
      <c r="C26" s="6"/>
      <c r="D26" s="7">
        <f t="shared" ref="D26:D79" si="7">(B26)+(C26)</f>
        <v>0</v>
      </c>
    </row>
    <row r="27">
      <c r="A27" s="5" t="s">
        <v>27</v>
      </c>
      <c r="B27" s="6"/>
      <c r="C27" s="6"/>
      <c r="D27" s="7">
        <f t="shared" si="7"/>
        <v>0</v>
      </c>
    </row>
    <row r="28">
      <c r="A28" s="5" t="s">
        <v>28</v>
      </c>
      <c r="B28" s="7">
        <f>3000</f>
        <v>3000</v>
      </c>
      <c r="C28" s="6"/>
      <c r="D28" s="7">
        <f t="shared" si="7"/>
        <v>3000</v>
      </c>
    </row>
    <row r="29">
      <c r="A29" s="5" t="s">
        <v>29</v>
      </c>
      <c r="B29" s="7">
        <f>12</f>
        <v>12</v>
      </c>
      <c r="C29" s="6"/>
      <c r="D29" s="7">
        <f t="shared" si="7"/>
        <v>12</v>
      </c>
    </row>
    <row r="30">
      <c r="A30" s="5" t="s">
        <v>30</v>
      </c>
      <c r="B30" s="8">
        <f t="shared" ref="B30:C30" si="8">((B27)+(B28))+(B29)</f>
        <v>3012</v>
      </c>
      <c r="C30" s="8">
        <f t="shared" si="8"/>
        <v>0</v>
      </c>
      <c r="D30" s="8">
        <f t="shared" si="7"/>
        <v>3012</v>
      </c>
    </row>
    <row r="31">
      <c r="A31" s="5" t="s">
        <v>31</v>
      </c>
      <c r="B31" s="7">
        <f>165</f>
        <v>165</v>
      </c>
      <c r="C31" s="6"/>
      <c r="D31" s="7">
        <f t="shared" si="7"/>
        <v>165</v>
      </c>
    </row>
    <row r="32">
      <c r="A32" s="5" t="s">
        <v>32</v>
      </c>
      <c r="B32" s="7">
        <f>50</f>
        <v>50</v>
      </c>
      <c r="C32" s="7">
        <f>389.4</f>
        <v>389.4</v>
      </c>
      <c r="D32" s="7">
        <f t="shared" si="7"/>
        <v>439.4</v>
      </c>
    </row>
    <row r="33">
      <c r="A33" s="5" t="s">
        <v>33</v>
      </c>
      <c r="B33" s="7">
        <f>1381.85</f>
        <v>1381.85</v>
      </c>
      <c r="C33" s="7">
        <f>46.13</f>
        <v>46.13</v>
      </c>
      <c r="D33" s="7">
        <f t="shared" si="7"/>
        <v>1427.98</v>
      </c>
    </row>
    <row r="34">
      <c r="A34" s="5" t="s">
        <v>34</v>
      </c>
      <c r="B34" s="7">
        <f>99</f>
        <v>99</v>
      </c>
      <c r="C34" s="6"/>
      <c r="D34" s="7">
        <f t="shared" si="7"/>
        <v>99</v>
      </c>
    </row>
    <row r="35">
      <c r="A35" s="5" t="s">
        <v>35</v>
      </c>
      <c r="B35" s="7">
        <f>200</f>
        <v>200</v>
      </c>
      <c r="C35" s="6"/>
      <c r="D35" s="7">
        <f t="shared" si="7"/>
        <v>200</v>
      </c>
    </row>
    <row r="36">
      <c r="A36" s="5" t="s">
        <v>36</v>
      </c>
      <c r="B36" s="7">
        <f>48</f>
        <v>48</v>
      </c>
      <c r="C36" s="6"/>
      <c r="D36" s="7">
        <f t="shared" si="7"/>
        <v>48</v>
      </c>
    </row>
    <row r="37">
      <c r="A37" s="5" t="s">
        <v>37</v>
      </c>
      <c r="B37" s="6"/>
      <c r="C37" s="6"/>
      <c r="D37" s="7">
        <f t="shared" si="7"/>
        <v>0</v>
      </c>
    </row>
    <row r="38">
      <c r="A38" s="5" t="s">
        <v>38</v>
      </c>
      <c r="B38" s="6"/>
      <c r="C38" s="7">
        <f>680.75</f>
        <v>680.75</v>
      </c>
      <c r="D38" s="7">
        <f t="shared" si="7"/>
        <v>680.75</v>
      </c>
    </row>
    <row r="39">
      <c r="A39" s="5" t="s">
        <v>39</v>
      </c>
      <c r="B39" s="8">
        <f t="shared" ref="B39:C39" si="9">(B37)+(B38)</f>
        <v>0</v>
      </c>
      <c r="C39" s="8">
        <f t="shared" si="9"/>
        <v>680.75</v>
      </c>
      <c r="D39" s="8">
        <f t="shared" si="7"/>
        <v>680.75</v>
      </c>
    </row>
    <row r="40">
      <c r="A40" s="5" t="s">
        <v>40</v>
      </c>
      <c r="B40" s="7">
        <f t="shared" ref="B40:C40" si="10">85</f>
        <v>85</v>
      </c>
      <c r="C40" s="7">
        <f t="shared" si="10"/>
        <v>85</v>
      </c>
      <c r="D40" s="7">
        <f t="shared" si="7"/>
        <v>170</v>
      </c>
    </row>
    <row r="41">
      <c r="A41" s="5" t="s">
        <v>41</v>
      </c>
      <c r="B41" s="8">
        <f t="shared" ref="B41:C41" si="11">(((((((((B26)+(B30))+(B31))+(B32))+(B33))+(B34))+(B35))+(B36))+(B39))+(B40)</f>
        <v>5040.85</v>
      </c>
      <c r="C41" s="8">
        <f t="shared" si="11"/>
        <v>1201.28</v>
      </c>
      <c r="D41" s="8">
        <f t="shared" si="7"/>
        <v>6242.13</v>
      </c>
    </row>
    <row r="42">
      <c r="A42" s="5" t="s">
        <v>42</v>
      </c>
      <c r="B42" s="7">
        <f>188.73</f>
        <v>188.73</v>
      </c>
      <c r="C42" s="6"/>
      <c r="D42" s="7">
        <f t="shared" si="7"/>
        <v>188.73</v>
      </c>
    </row>
    <row r="43">
      <c r="A43" s="5" t="s">
        <v>43</v>
      </c>
      <c r="B43" s="6"/>
      <c r="C43" s="6"/>
      <c r="D43" s="7">
        <f t="shared" si="7"/>
        <v>0</v>
      </c>
    </row>
    <row r="44">
      <c r="A44" s="5" t="s">
        <v>44</v>
      </c>
      <c r="B44" s="6"/>
      <c r="C44" s="6"/>
      <c r="D44" s="7">
        <f t="shared" si="7"/>
        <v>0</v>
      </c>
    </row>
    <row r="45">
      <c r="A45" s="5" t="s">
        <v>45</v>
      </c>
      <c r="B45" s="6"/>
      <c r="C45" s="6"/>
      <c r="D45" s="7">
        <f t="shared" si="7"/>
        <v>0</v>
      </c>
    </row>
    <row r="46">
      <c r="A46" s="5" t="s">
        <v>46</v>
      </c>
      <c r="B46" s="7">
        <f>592.85</f>
        <v>592.85</v>
      </c>
      <c r="C46" s="6"/>
      <c r="D46" s="7">
        <f t="shared" si="7"/>
        <v>592.85</v>
      </c>
    </row>
    <row r="47">
      <c r="A47" s="5" t="s">
        <v>47</v>
      </c>
      <c r="B47" s="7">
        <f>629.98</f>
        <v>629.98</v>
      </c>
      <c r="C47" s="6"/>
      <c r="D47" s="7">
        <f t="shared" si="7"/>
        <v>629.98</v>
      </c>
    </row>
    <row r="48">
      <c r="A48" s="5" t="s">
        <v>48</v>
      </c>
      <c r="B48" s="7">
        <f>3379.44</f>
        <v>3379.44</v>
      </c>
      <c r="C48" s="6"/>
      <c r="D48" s="7">
        <f t="shared" si="7"/>
        <v>3379.44</v>
      </c>
    </row>
    <row r="49">
      <c r="A49" s="5" t="s">
        <v>49</v>
      </c>
      <c r="B49" s="7">
        <f>510.07</f>
        <v>510.07</v>
      </c>
      <c r="C49" s="6"/>
      <c r="D49" s="7">
        <f t="shared" si="7"/>
        <v>510.07</v>
      </c>
    </row>
    <row r="50">
      <c r="A50" s="5" t="s">
        <v>50</v>
      </c>
      <c r="B50" s="7">
        <f>332.9</f>
        <v>332.9</v>
      </c>
      <c r="C50" s="6"/>
      <c r="D50" s="7">
        <f t="shared" si="7"/>
        <v>332.9</v>
      </c>
    </row>
    <row r="51">
      <c r="A51" s="5" t="s">
        <v>51</v>
      </c>
      <c r="B51" s="7">
        <f>3612.66</f>
        <v>3612.66</v>
      </c>
      <c r="C51" s="6"/>
      <c r="D51" s="7">
        <f t="shared" si="7"/>
        <v>3612.66</v>
      </c>
    </row>
    <row r="52">
      <c r="A52" s="5" t="s">
        <v>52</v>
      </c>
      <c r="B52" s="7">
        <f>407.15</f>
        <v>407.15</v>
      </c>
      <c r="C52" s="6"/>
      <c r="D52" s="7">
        <f t="shared" si="7"/>
        <v>407.15</v>
      </c>
    </row>
    <row r="53">
      <c r="A53" s="5" t="s">
        <v>53</v>
      </c>
      <c r="B53" s="7">
        <f>2721.09</f>
        <v>2721.09</v>
      </c>
      <c r="C53" s="6"/>
      <c r="D53" s="7">
        <f t="shared" si="7"/>
        <v>2721.09</v>
      </c>
    </row>
    <row r="54">
      <c r="A54" s="5" t="s">
        <v>54</v>
      </c>
      <c r="B54" s="7">
        <f>1252.53</f>
        <v>1252.53</v>
      </c>
      <c r="C54" s="6"/>
      <c r="D54" s="7">
        <f t="shared" si="7"/>
        <v>1252.53</v>
      </c>
    </row>
    <row r="55">
      <c r="A55" s="5" t="s">
        <v>55</v>
      </c>
      <c r="B55" s="7">
        <f>1931.61</f>
        <v>1931.61</v>
      </c>
      <c r="C55" s="6"/>
      <c r="D55" s="7">
        <f t="shared" si="7"/>
        <v>1931.61</v>
      </c>
    </row>
    <row r="56">
      <c r="A56" s="5" t="s">
        <v>56</v>
      </c>
      <c r="B56" s="7">
        <f>2004.69</f>
        <v>2004.69</v>
      </c>
      <c r="C56" s="6"/>
      <c r="D56" s="7">
        <f t="shared" si="7"/>
        <v>2004.69</v>
      </c>
    </row>
    <row r="57">
      <c r="A57" s="5" t="s">
        <v>57</v>
      </c>
      <c r="B57" s="7">
        <f>614.3</f>
        <v>614.3</v>
      </c>
      <c r="C57" s="6"/>
      <c r="D57" s="7">
        <f t="shared" si="7"/>
        <v>614.3</v>
      </c>
    </row>
    <row r="58">
      <c r="A58" s="5" t="s">
        <v>58</v>
      </c>
      <c r="B58" s="7">
        <f>1394.82</f>
        <v>1394.82</v>
      </c>
      <c r="C58" s="6"/>
      <c r="D58" s="7">
        <f t="shared" si="7"/>
        <v>1394.82</v>
      </c>
    </row>
    <row r="59">
      <c r="A59" s="5" t="s">
        <v>59</v>
      </c>
      <c r="B59" s="7">
        <f>15342.23</f>
        <v>15342.23</v>
      </c>
      <c r="C59" s="6"/>
      <c r="D59" s="7">
        <f t="shared" si="7"/>
        <v>15342.23</v>
      </c>
    </row>
    <row r="60">
      <c r="A60" s="5" t="s">
        <v>60</v>
      </c>
      <c r="B60" s="7">
        <f>234.81</f>
        <v>234.81</v>
      </c>
      <c r="C60" s="6"/>
      <c r="D60" s="7">
        <f t="shared" si="7"/>
        <v>234.81</v>
      </c>
    </row>
    <row r="61">
      <c r="A61" s="5" t="s">
        <v>61</v>
      </c>
      <c r="B61" s="8">
        <f t="shared" ref="B61:C61" si="12">(((((((((((((((B45)+(B46))+(B47))+(B48))+(B49))+(B50))+(B51))+(B52))+(B53))+(B54))+(B55))+(B56))+(B57))+(B58))+(B59))+(B60)</f>
        <v>34961.13</v>
      </c>
      <c r="C61" s="8">
        <f t="shared" si="12"/>
        <v>0</v>
      </c>
      <c r="D61" s="8">
        <f t="shared" si="7"/>
        <v>34961.13</v>
      </c>
    </row>
    <row r="62">
      <c r="A62" s="5" t="s">
        <v>62</v>
      </c>
      <c r="B62" s="8">
        <f t="shared" ref="B62:C62" si="13">(B44)+(B61)</f>
        <v>34961.13</v>
      </c>
      <c r="C62" s="8">
        <f t="shared" si="13"/>
        <v>0</v>
      </c>
      <c r="D62" s="8">
        <f t="shared" si="7"/>
        <v>34961.13</v>
      </c>
    </row>
    <row r="63">
      <c r="A63" s="5" t="s">
        <v>63</v>
      </c>
      <c r="B63" s="6"/>
      <c r="C63" s="6"/>
      <c r="D63" s="7">
        <f t="shared" si="7"/>
        <v>0</v>
      </c>
    </row>
    <row r="64">
      <c r="A64" s="5" t="s">
        <v>64</v>
      </c>
      <c r="B64" s="6"/>
      <c r="C64" s="6"/>
      <c r="D64" s="7">
        <f t="shared" si="7"/>
        <v>0</v>
      </c>
    </row>
    <row r="65">
      <c r="A65" s="5" t="s">
        <v>65</v>
      </c>
      <c r="B65" s="7">
        <f>6578.36</f>
        <v>6578.36</v>
      </c>
      <c r="C65" s="6"/>
      <c r="D65" s="7">
        <f t="shared" si="7"/>
        <v>6578.36</v>
      </c>
    </row>
    <row r="66">
      <c r="A66" s="5" t="s">
        <v>66</v>
      </c>
      <c r="B66" s="6"/>
      <c r="C66" s="6"/>
      <c r="D66" s="7">
        <f t="shared" si="7"/>
        <v>0</v>
      </c>
    </row>
    <row r="67">
      <c r="A67" s="5" t="s">
        <v>67</v>
      </c>
      <c r="B67" s="7">
        <f>497.45</f>
        <v>497.45</v>
      </c>
      <c r="C67" s="6"/>
      <c r="D67" s="7">
        <f t="shared" si="7"/>
        <v>497.45</v>
      </c>
    </row>
    <row r="68">
      <c r="A68" s="5" t="s">
        <v>68</v>
      </c>
      <c r="B68" s="7">
        <f>74.52</f>
        <v>74.52</v>
      </c>
      <c r="C68" s="6"/>
      <c r="D68" s="7">
        <f t="shared" si="7"/>
        <v>74.52</v>
      </c>
    </row>
    <row r="69">
      <c r="A69" s="5" t="s">
        <v>69</v>
      </c>
      <c r="B69" s="8">
        <f t="shared" ref="B69:C69" si="14">((B66)+(B67))+(B68)</f>
        <v>571.97</v>
      </c>
      <c r="C69" s="8">
        <f t="shared" si="14"/>
        <v>0</v>
      </c>
      <c r="D69" s="8">
        <f t="shared" si="7"/>
        <v>571.97</v>
      </c>
    </row>
    <row r="70">
      <c r="A70" s="5" t="s">
        <v>70</v>
      </c>
      <c r="B70" s="7">
        <f>55</f>
        <v>55</v>
      </c>
      <c r="C70" s="6"/>
      <c r="D70" s="7">
        <f t="shared" si="7"/>
        <v>55</v>
      </c>
    </row>
    <row r="71">
      <c r="A71" s="5" t="s">
        <v>71</v>
      </c>
      <c r="B71" s="7">
        <f>4378.09</f>
        <v>4378.09</v>
      </c>
      <c r="C71" s="6"/>
      <c r="D71" s="7">
        <f t="shared" si="7"/>
        <v>4378.09</v>
      </c>
    </row>
    <row r="72">
      <c r="A72" s="5" t="s">
        <v>72</v>
      </c>
      <c r="B72" s="7">
        <f>506.25</f>
        <v>506.25</v>
      </c>
      <c r="C72" s="6"/>
      <c r="D72" s="7">
        <f t="shared" si="7"/>
        <v>506.25</v>
      </c>
    </row>
    <row r="73">
      <c r="A73" s="5" t="s">
        <v>73</v>
      </c>
      <c r="B73" s="8">
        <f t="shared" ref="B73:C73" si="15">(((((B64)+(B65))+(B69))+(B70))+(B71))+(B72)</f>
        <v>12089.67</v>
      </c>
      <c r="C73" s="8">
        <f t="shared" si="15"/>
        <v>0</v>
      </c>
      <c r="D73" s="8">
        <f t="shared" si="7"/>
        <v>12089.67</v>
      </c>
    </row>
    <row r="74">
      <c r="A74" s="5" t="s">
        <v>74</v>
      </c>
      <c r="B74" s="7">
        <f>27.93</f>
        <v>27.93</v>
      </c>
      <c r="C74" s="6"/>
      <c r="D74" s="7">
        <f t="shared" si="7"/>
        <v>27.93</v>
      </c>
    </row>
    <row r="75">
      <c r="A75" s="5" t="s">
        <v>75</v>
      </c>
      <c r="B75" s="8">
        <f t="shared" ref="B75:C75" si="16">((B63)+(B73))+(B74)</f>
        <v>12117.6</v>
      </c>
      <c r="C75" s="8">
        <f t="shared" si="16"/>
        <v>0</v>
      </c>
      <c r="D75" s="8">
        <f t="shared" si="7"/>
        <v>12117.6</v>
      </c>
    </row>
    <row r="76">
      <c r="A76" s="5" t="s">
        <v>76</v>
      </c>
      <c r="B76" s="8">
        <f t="shared" ref="B76:C76" si="17">((B43)+(B62))+(B75)</f>
        <v>47078.73</v>
      </c>
      <c r="C76" s="8">
        <f t="shared" si="17"/>
        <v>0</v>
      </c>
      <c r="D76" s="8">
        <f t="shared" si="7"/>
        <v>47078.73</v>
      </c>
    </row>
    <row r="77">
      <c r="A77" s="5" t="s">
        <v>77</v>
      </c>
      <c r="B77" s="8">
        <f t="shared" ref="B77:C77" si="18">((B41)+(B42))+(B76)</f>
        <v>52308.31</v>
      </c>
      <c r="C77" s="8">
        <f t="shared" si="18"/>
        <v>1201.28</v>
      </c>
      <c r="D77" s="8">
        <f t="shared" si="7"/>
        <v>53509.59</v>
      </c>
    </row>
    <row r="78">
      <c r="A78" s="5" t="s">
        <v>78</v>
      </c>
      <c r="B78" s="8">
        <f t="shared" ref="B78:C78" si="19">(B24)-(B77)</f>
        <v>-52308.31</v>
      </c>
      <c r="C78" s="8">
        <f t="shared" si="19"/>
        <v>118757.2</v>
      </c>
      <c r="D78" s="8">
        <f t="shared" si="7"/>
        <v>66448.89</v>
      </c>
    </row>
    <row r="79">
      <c r="A79" s="5" t="s">
        <v>79</v>
      </c>
      <c r="B79" s="8">
        <f t="shared" ref="B79:C79" si="20">(B78)+(0)</f>
        <v>-52308.31</v>
      </c>
      <c r="C79" s="8">
        <f t="shared" si="20"/>
        <v>118757.2</v>
      </c>
      <c r="D79" s="8">
        <f t="shared" si="7"/>
        <v>66448.89</v>
      </c>
    </row>
    <row r="80">
      <c r="A80" s="5"/>
      <c r="B80" s="6"/>
      <c r="C80" s="6"/>
      <c r="D80" s="6"/>
    </row>
    <row r="81"/>
    <row r="82"/>
    <row r="83">
      <c r="A83" s="9" t="s">
        <v>80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D1"/>
    <mergeCell ref="A2:D2"/>
    <mergeCell ref="A3:D3"/>
    <mergeCell ref="A83:D83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2" width="54.14"/>
    <col customWidth="1" min="3" max="26" width="8.71"/>
  </cols>
  <sheetData>
    <row r="1">
      <c r="A1" s="1" t="s">
        <v>0</v>
      </c>
    </row>
    <row r="2">
      <c r="A2" s="1" t="s">
        <v>1</v>
      </c>
    </row>
    <row r="3">
      <c r="A3" s="2" t="s">
        <v>172</v>
      </c>
    </row>
    <row r="5">
      <c r="A5" s="3"/>
      <c r="B5" s="4" t="s">
        <v>5</v>
      </c>
    </row>
    <row r="6">
      <c r="A6" s="5" t="s">
        <v>6</v>
      </c>
      <c r="B6" s="6"/>
    </row>
    <row r="7">
      <c r="A7" s="5" t="s">
        <v>173</v>
      </c>
      <c r="B7" s="6"/>
    </row>
    <row r="8">
      <c r="A8" s="5" t="s">
        <v>174</v>
      </c>
      <c r="B8" s="7">
        <f>67385.59</f>
        <v>67385.59</v>
      </c>
    </row>
    <row r="9">
      <c r="A9" s="5" t="s">
        <v>175</v>
      </c>
      <c r="B9" s="7">
        <f>2107.32</f>
        <v>2107.32</v>
      </c>
    </row>
    <row r="10">
      <c r="A10" s="5" t="s">
        <v>176</v>
      </c>
      <c r="B10" s="7">
        <f>650.79</f>
        <v>650.79</v>
      </c>
    </row>
    <row r="11">
      <c r="A11" s="5" t="s">
        <v>177</v>
      </c>
      <c r="B11" s="8">
        <f>((B8)+(B9))+(B10)</f>
        <v>70143.7</v>
      </c>
    </row>
    <row r="12">
      <c r="A12" s="5" t="s">
        <v>178</v>
      </c>
      <c r="B12" s="8">
        <f>(B7)+(B11)</f>
        <v>70143.7</v>
      </c>
    </row>
    <row r="13">
      <c r="A13" s="5" t="s">
        <v>23</v>
      </c>
      <c r="B13" s="8">
        <f>B12</f>
        <v>70143.7</v>
      </c>
    </row>
    <row r="14">
      <c r="A14" s="5" t="s">
        <v>24</v>
      </c>
      <c r="B14" s="8">
        <f>(B13)-(0)</f>
        <v>70143.7</v>
      </c>
    </row>
    <row r="15">
      <c r="A15" s="5" t="s">
        <v>25</v>
      </c>
      <c r="B15" s="6"/>
    </row>
    <row r="16">
      <c r="A16" s="5" t="s">
        <v>26</v>
      </c>
      <c r="B16" s="6"/>
    </row>
    <row r="17">
      <c r="A17" s="5" t="s">
        <v>27</v>
      </c>
      <c r="B17" s="6"/>
    </row>
    <row r="18">
      <c r="A18" s="5" t="s">
        <v>29</v>
      </c>
      <c r="B18" s="7">
        <f>225</f>
        <v>225</v>
      </c>
    </row>
    <row r="19">
      <c r="A19" s="5" t="s">
        <v>30</v>
      </c>
      <c r="B19" s="8">
        <f>(B17)+(B18)</f>
        <v>225</v>
      </c>
    </row>
    <row r="20">
      <c r="A20" s="5" t="s">
        <v>31</v>
      </c>
      <c r="B20" s="7">
        <f>570</f>
        <v>570</v>
      </c>
    </row>
    <row r="21">
      <c r="A21" s="5" t="s">
        <v>32</v>
      </c>
      <c r="B21" s="7">
        <f>50</f>
        <v>50</v>
      </c>
    </row>
    <row r="22">
      <c r="A22" s="5" t="s">
        <v>179</v>
      </c>
      <c r="B22" s="7">
        <f>3328.32</f>
        <v>3328.32</v>
      </c>
    </row>
    <row r="23">
      <c r="A23" s="5" t="s">
        <v>33</v>
      </c>
      <c r="B23" s="7">
        <f>1019.38</f>
        <v>1019.38</v>
      </c>
    </row>
    <row r="24">
      <c r="A24" s="5" t="s">
        <v>34</v>
      </c>
      <c r="B24" s="7">
        <f>99</f>
        <v>99</v>
      </c>
    </row>
    <row r="25">
      <c r="A25" s="5" t="s">
        <v>35</v>
      </c>
      <c r="B25" s="7">
        <f>100</f>
        <v>100</v>
      </c>
    </row>
    <row r="26">
      <c r="A26" s="5" t="s">
        <v>36</v>
      </c>
      <c r="B26" s="7">
        <f>48</f>
        <v>48</v>
      </c>
    </row>
    <row r="27">
      <c r="A27" s="5" t="s">
        <v>40</v>
      </c>
      <c r="B27" s="7">
        <f>85</f>
        <v>85</v>
      </c>
    </row>
    <row r="28">
      <c r="A28" s="5" t="s">
        <v>41</v>
      </c>
      <c r="B28" s="8">
        <f>(((((((((B16)+(B19))+(B20))+(B21))+(B22))+(B23))+(B24))+(B25))+(B26))+(B27)</f>
        <v>5524.7</v>
      </c>
    </row>
    <row r="29">
      <c r="A29" s="5" t="s">
        <v>43</v>
      </c>
      <c r="B29" s="6"/>
    </row>
    <row r="30">
      <c r="A30" s="5" t="s">
        <v>44</v>
      </c>
      <c r="B30" s="6"/>
    </row>
    <row r="31">
      <c r="A31" s="5" t="s">
        <v>45</v>
      </c>
      <c r="B31" s="6"/>
    </row>
    <row r="32">
      <c r="A32" s="5" t="s">
        <v>46</v>
      </c>
      <c r="B32" s="7">
        <f t="shared" ref="B32:B33" si="1">476.22</f>
        <v>476.22</v>
      </c>
    </row>
    <row r="33">
      <c r="A33" s="5" t="s">
        <v>47</v>
      </c>
      <c r="B33" s="7">
        <f t="shared" si="1"/>
        <v>476.22</v>
      </c>
    </row>
    <row r="34">
      <c r="A34" s="5" t="s">
        <v>48</v>
      </c>
      <c r="B34" s="7">
        <f>2108.12</f>
        <v>2108.12</v>
      </c>
    </row>
    <row r="35">
      <c r="A35" s="5" t="s">
        <v>49</v>
      </c>
      <c r="B35" s="7">
        <f>1195.13</f>
        <v>1195.13</v>
      </c>
    </row>
    <row r="36">
      <c r="A36" s="5" t="s">
        <v>50</v>
      </c>
      <c r="B36" s="7">
        <f>1137.97</f>
        <v>1137.97</v>
      </c>
    </row>
    <row r="37">
      <c r="A37" s="5" t="s">
        <v>52</v>
      </c>
      <c r="B37" s="7">
        <f>447.79</f>
        <v>447.79</v>
      </c>
    </row>
    <row r="38">
      <c r="A38" s="5" t="s">
        <v>53</v>
      </c>
      <c r="B38" s="7">
        <f>3452.77</f>
        <v>3452.77</v>
      </c>
    </row>
    <row r="39">
      <c r="A39" s="5" t="s">
        <v>54</v>
      </c>
      <c r="B39" s="7">
        <f>1609.97</f>
        <v>1609.97</v>
      </c>
    </row>
    <row r="40">
      <c r="A40" s="5" t="s">
        <v>55</v>
      </c>
      <c r="B40" s="7">
        <f>196.17</f>
        <v>196.17</v>
      </c>
    </row>
    <row r="41">
      <c r="A41" s="5" t="s">
        <v>56</v>
      </c>
      <c r="B41" s="7">
        <f>1016.85</f>
        <v>1016.85</v>
      </c>
    </row>
    <row r="42">
      <c r="A42" s="5" t="s">
        <v>58</v>
      </c>
      <c r="B42" s="7">
        <f>1270.96</f>
        <v>1270.96</v>
      </c>
    </row>
    <row r="43">
      <c r="A43" s="5" t="s">
        <v>59</v>
      </c>
      <c r="B43" s="7">
        <f>3403.04</f>
        <v>3403.04</v>
      </c>
    </row>
    <row r="44">
      <c r="A44" s="5" t="s">
        <v>60</v>
      </c>
      <c r="B44" s="7">
        <f>1438.82</f>
        <v>1438.82</v>
      </c>
    </row>
    <row r="45">
      <c r="A45" s="5" t="s">
        <v>61</v>
      </c>
      <c r="B45" s="8">
        <f>(((((((((((((B31)+(B32))+(B33))+(B34))+(B35))+(B36))+(B37))+(B38))+(B39))+(B40))+(B41))+(B42))+(B43))+(B44)</f>
        <v>18230.03</v>
      </c>
    </row>
    <row r="46">
      <c r="A46" s="5" t="s">
        <v>62</v>
      </c>
      <c r="B46" s="8">
        <f>(B30)+(B45)</f>
        <v>18230.03</v>
      </c>
    </row>
    <row r="47">
      <c r="A47" s="5" t="s">
        <v>63</v>
      </c>
      <c r="B47" s="6"/>
    </row>
    <row r="48">
      <c r="A48" s="5" t="s">
        <v>64</v>
      </c>
      <c r="B48" s="6"/>
    </row>
    <row r="49">
      <c r="A49" s="5" t="s">
        <v>65</v>
      </c>
      <c r="B49" s="7">
        <f>13031.36</f>
        <v>13031.36</v>
      </c>
    </row>
    <row r="50">
      <c r="A50" s="5" t="s">
        <v>66</v>
      </c>
      <c r="B50" s="6"/>
    </row>
    <row r="51">
      <c r="A51" s="5" t="s">
        <v>67</v>
      </c>
      <c r="B51" s="7">
        <f>2000</f>
        <v>2000</v>
      </c>
    </row>
    <row r="52">
      <c r="A52" s="5" t="s">
        <v>180</v>
      </c>
      <c r="B52" s="7">
        <f>500</f>
        <v>500</v>
      </c>
    </row>
    <row r="53">
      <c r="A53" s="5" t="s">
        <v>68</v>
      </c>
      <c r="B53" s="7">
        <f>176.99</f>
        <v>176.99</v>
      </c>
    </row>
    <row r="54">
      <c r="A54" s="5" t="s">
        <v>69</v>
      </c>
      <c r="B54" s="8">
        <f>(((B50)+(B51))+(B52))+(B53)</f>
        <v>2676.99</v>
      </c>
    </row>
    <row r="55">
      <c r="A55" s="5" t="s">
        <v>70</v>
      </c>
      <c r="B55" s="7">
        <f>426.25</f>
        <v>426.25</v>
      </c>
    </row>
    <row r="56">
      <c r="A56" s="5" t="s">
        <v>71</v>
      </c>
      <c r="B56" s="7">
        <f>3476.25</f>
        <v>3476.25</v>
      </c>
    </row>
    <row r="57">
      <c r="A57" s="5" t="s">
        <v>72</v>
      </c>
      <c r="B57" s="7">
        <f>753.75</f>
        <v>753.75</v>
      </c>
    </row>
    <row r="58">
      <c r="A58" s="5" t="s">
        <v>73</v>
      </c>
      <c r="B58" s="8">
        <f>(((((B48)+(B49))+(B54))+(B55))+(B56))+(B57)</f>
        <v>20364.6</v>
      </c>
    </row>
    <row r="59">
      <c r="A59" s="5" t="s">
        <v>75</v>
      </c>
      <c r="B59" s="8">
        <f>(B47)+(B58)</f>
        <v>20364.6</v>
      </c>
    </row>
    <row r="60">
      <c r="A60" s="5" t="s">
        <v>76</v>
      </c>
      <c r="B60" s="8">
        <f>((B29)+(B46))+(B59)</f>
        <v>38594.63</v>
      </c>
    </row>
    <row r="61">
      <c r="A61" s="5" t="s">
        <v>77</v>
      </c>
      <c r="B61" s="8">
        <f>(B28)+(B60)</f>
        <v>44119.33</v>
      </c>
    </row>
    <row r="62">
      <c r="A62" s="5" t="s">
        <v>78</v>
      </c>
      <c r="B62" s="8">
        <f>(B14)-(B61)</f>
        <v>26024.37</v>
      </c>
    </row>
    <row r="63">
      <c r="A63" s="5" t="s">
        <v>79</v>
      </c>
      <c r="B63" s="8">
        <f>(B62)+(0)</f>
        <v>26024.37</v>
      </c>
    </row>
    <row r="64">
      <c r="A64" s="5"/>
      <c r="B64" s="6"/>
    </row>
    <row r="65"/>
    <row r="66"/>
    <row r="67">
      <c r="A67" s="9" t="s">
        <v>181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61.86"/>
    <col customWidth="1" min="2" max="2" width="54.14"/>
    <col customWidth="1" min="3" max="26" width="8.71"/>
  </cols>
  <sheetData>
    <row r="1">
      <c r="A1" s="1" t="s">
        <v>0</v>
      </c>
    </row>
    <row r="2">
      <c r="A2" s="1" t="s">
        <v>102</v>
      </c>
    </row>
    <row r="3">
      <c r="A3" s="2" t="s">
        <v>182</v>
      </c>
    </row>
    <row r="5">
      <c r="A5" s="3"/>
      <c r="B5" s="4" t="s">
        <v>5</v>
      </c>
    </row>
    <row r="6">
      <c r="A6" s="5" t="s">
        <v>103</v>
      </c>
      <c r="B6" s="6"/>
    </row>
    <row r="7">
      <c r="A7" s="5" t="s">
        <v>104</v>
      </c>
      <c r="B7" s="6"/>
    </row>
    <row r="8">
      <c r="A8" s="5" t="s">
        <v>105</v>
      </c>
      <c r="B8" s="6"/>
    </row>
    <row r="9">
      <c r="A9" s="5" t="s">
        <v>106</v>
      </c>
      <c r="B9" s="6"/>
    </row>
    <row r="10">
      <c r="A10" s="5" t="s">
        <v>107</v>
      </c>
      <c r="B10" s="7">
        <f>165000</f>
        <v>165000</v>
      </c>
    </row>
    <row r="11">
      <c r="A11" s="5" t="s">
        <v>108</v>
      </c>
      <c r="B11" s="7">
        <f>125000</f>
        <v>125000</v>
      </c>
    </row>
    <row r="12">
      <c r="A12" s="5" t="s">
        <v>109</v>
      </c>
      <c r="B12" s="7">
        <f>64094.49</f>
        <v>64094.49</v>
      </c>
    </row>
    <row r="13">
      <c r="A13" s="5" t="s">
        <v>110</v>
      </c>
      <c r="B13" s="8">
        <f>(((B9)+(B10))+(B11))+(B12)</f>
        <v>354094.49</v>
      </c>
    </row>
    <row r="14">
      <c r="A14" s="5" t="s">
        <v>111</v>
      </c>
      <c r="B14" s="6"/>
    </row>
    <row r="15">
      <c r="A15" s="5" t="s">
        <v>112</v>
      </c>
      <c r="B15" s="7">
        <f>291828.7</f>
        <v>291828.7</v>
      </c>
    </row>
    <row r="16">
      <c r="A16" s="5" t="s">
        <v>113</v>
      </c>
      <c r="B16" s="7">
        <f>189059.95</f>
        <v>189059.95</v>
      </c>
    </row>
    <row r="17">
      <c r="A17" s="5" t="s">
        <v>114</v>
      </c>
      <c r="B17" s="7">
        <f>98244.87</f>
        <v>98244.87</v>
      </c>
    </row>
    <row r="18">
      <c r="A18" s="5" t="s">
        <v>115</v>
      </c>
      <c r="B18" s="8">
        <f>(((B14)+(B15))+(B16))+(B17)</f>
        <v>579133.52</v>
      </c>
    </row>
    <row r="19">
      <c r="A19" s="5" t="s">
        <v>116</v>
      </c>
      <c r="B19" s="8">
        <f>(B13)+(B18)</f>
        <v>933228.01</v>
      </c>
    </row>
    <row r="20">
      <c r="A20" s="5" t="s">
        <v>117</v>
      </c>
      <c r="B20" s="6"/>
    </row>
    <row r="21">
      <c r="A21" s="5" t="s">
        <v>118</v>
      </c>
      <c r="B21" s="7">
        <f>70143.7</f>
        <v>70143.7</v>
      </c>
    </row>
    <row r="22">
      <c r="A22" s="5" t="s">
        <v>119</v>
      </c>
      <c r="B22" s="8">
        <f>B21</f>
        <v>70143.7</v>
      </c>
    </row>
    <row r="23">
      <c r="A23" s="5" t="s">
        <v>120</v>
      </c>
      <c r="B23" s="6"/>
    </row>
    <row r="24">
      <c r="A24" s="5" t="s">
        <v>121</v>
      </c>
      <c r="B24" s="7">
        <f t="shared" ref="B24:B30" si="1">0</f>
        <v>0</v>
      </c>
    </row>
    <row r="25">
      <c r="A25" s="5" t="s">
        <v>122</v>
      </c>
      <c r="B25" s="7">
        <f t="shared" si="1"/>
        <v>0</v>
      </c>
    </row>
    <row r="26">
      <c r="A26" s="5" t="s">
        <v>123</v>
      </c>
      <c r="B26" s="7">
        <f t="shared" si="1"/>
        <v>0</v>
      </c>
    </row>
    <row r="27">
      <c r="A27" s="5" t="s">
        <v>124</v>
      </c>
      <c r="B27" s="7">
        <f t="shared" si="1"/>
        <v>0</v>
      </c>
    </row>
    <row r="28">
      <c r="A28" s="5" t="s">
        <v>125</v>
      </c>
      <c r="B28" s="7">
        <f t="shared" si="1"/>
        <v>0</v>
      </c>
    </row>
    <row r="29">
      <c r="A29" s="5" t="s">
        <v>126</v>
      </c>
      <c r="B29" s="7">
        <f t="shared" si="1"/>
        <v>0</v>
      </c>
    </row>
    <row r="30">
      <c r="A30" s="5" t="s">
        <v>127</v>
      </c>
      <c r="B30" s="7">
        <f t="shared" si="1"/>
        <v>0</v>
      </c>
    </row>
    <row r="31">
      <c r="A31" s="5" t="s">
        <v>128</v>
      </c>
      <c r="B31" s="8">
        <f>((((((B24)+(B25))+(B26))+(B27))+(B28))+(B29))+(B30)</f>
        <v>0</v>
      </c>
    </row>
    <row r="32">
      <c r="A32" s="5" t="s">
        <v>129</v>
      </c>
      <c r="B32" s="8">
        <f>((B19)+(B22))+(B31)</f>
        <v>1003371.71</v>
      </c>
    </row>
    <row r="33">
      <c r="A33" s="5" t="s">
        <v>130</v>
      </c>
      <c r="B33" s="6"/>
    </row>
    <row r="34">
      <c r="A34" s="5" t="s">
        <v>131</v>
      </c>
      <c r="B34" s="7">
        <f>162750</f>
        <v>162750</v>
      </c>
    </row>
    <row r="35">
      <c r="A35" s="5" t="s">
        <v>132</v>
      </c>
      <c r="B35" s="7">
        <f>475000</f>
        <v>475000</v>
      </c>
    </row>
    <row r="36">
      <c r="A36" s="5" t="s">
        <v>133</v>
      </c>
      <c r="B36" s="7">
        <f>110000</f>
        <v>110000</v>
      </c>
    </row>
    <row r="37">
      <c r="A37" s="5" t="s">
        <v>134</v>
      </c>
      <c r="B37" s="8">
        <f>((B34)+(B35))+(B36)</f>
        <v>747750</v>
      </c>
    </row>
    <row r="38">
      <c r="A38" s="5" t="s">
        <v>135</v>
      </c>
      <c r="B38" s="6"/>
    </row>
    <row r="39">
      <c r="A39" s="5" t="s">
        <v>136</v>
      </c>
      <c r="B39" s="7">
        <f>0</f>
        <v>0</v>
      </c>
    </row>
    <row r="40">
      <c r="A40" s="5" t="s">
        <v>137</v>
      </c>
      <c r="B40" s="8">
        <f>B39</f>
        <v>0</v>
      </c>
    </row>
    <row r="41">
      <c r="A41" s="5" t="s">
        <v>138</v>
      </c>
      <c r="B41" s="8">
        <f>((B32)+(B37))+(B40)</f>
        <v>1751121.71</v>
      </c>
    </row>
    <row r="42">
      <c r="A42" s="5" t="s">
        <v>139</v>
      </c>
      <c r="B42" s="6"/>
    </row>
    <row r="43">
      <c r="A43" s="5" t="s">
        <v>140</v>
      </c>
      <c r="B43" s="6"/>
    </row>
    <row r="44">
      <c r="A44" s="5" t="s">
        <v>141</v>
      </c>
      <c r="B44" s="6"/>
    </row>
    <row r="45">
      <c r="A45" s="5" t="s">
        <v>142</v>
      </c>
      <c r="B45" s="6"/>
    </row>
    <row r="46">
      <c r="A46" s="5" t="s">
        <v>143</v>
      </c>
      <c r="B46" s="7">
        <f>17156.34</f>
        <v>17156.34</v>
      </c>
    </row>
    <row r="47">
      <c r="A47" s="5" t="s">
        <v>144</v>
      </c>
      <c r="B47" s="8">
        <f>B46</f>
        <v>17156.34</v>
      </c>
    </row>
    <row r="48">
      <c r="A48" s="5" t="s">
        <v>145</v>
      </c>
      <c r="B48" s="6"/>
    </row>
    <row r="49">
      <c r="A49" s="5" t="s">
        <v>146</v>
      </c>
      <c r="B49" s="7">
        <f>0</f>
        <v>0</v>
      </c>
    </row>
    <row r="50">
      <c r="A50" s="5" t="s">
        <v>148</v>
      </c>
      <c r="B50" s="8">
        <f>B49</f>
        <v>0</v>
      </c>
    </row>
    <row r="51">
      <c r="A51" s="5" t="s">
        <v>149</v>
      </c>
      <c r="B51" s="6"/>
    </row>
    <row r="52">
      <c r="A52" s="5" t="s">
        <v>150</v>
      </c>
      <c r="B52" s="7">
        <f t="shared" ref="B52:B54" si="2">0</f>
        <v>0</v>
      </c>
    </row>
    <row r="53">
      <c r="A53" s="5" t="s">
        <v>151</v>
      </c>
      <c r="B53" s="7">
        <f t="shared" si="2"/>
        <v>0</v>
      </c>
    </row>
    <row r="54">
      <c r="A54" s="5" t="s">
        <v>152</v>
      </c>
      <c r="B54" s="7">
        <f t="shared" si="2"/>
        <v>0</v>
      </c>
    </row>
    <row r="55">
      <c r="A55" s="5" t="s">
        <v>153</v>
      </c>
      <c r="B55" s="8">
        <f>((B52)+(B53))+(B54)</f>
        <v>0</v>
      </c>
    </row>
    <row r="56">
      <c r="A56" s="5" t="s">
        <v>154</v>
      </c>
      <c r="B56" s="8">
        <f>((B47)+(B50))+(B55)</f>
        <v>17156.34</v>
      </c>
    </row>
    <row r="57">
      <c r="A57" s="5" t="s">
        <v>155</v>
      </c>
      <c r="B57" s="8">
        <f>B56</f>
        <v>17156.34</v>
      </c>
    </row>
    <row r="58">
      <c r="A58" s="5" t="s">
        <v>156</v>
      </c>
      <c r="B58" s="6"/>
    </row>
    <row r="59">
      <c r="A59" s="5" t="s">
        <v>157</v>
      </c>
      <c r="B59" s="7">
        <f>0</f>
        <v>0</v>
      </c>
    </row>
    <row r="60">
      <c r="A60" s="5" t="s">
        <v>158</v>
      </c>
      <c r="B60" s="7">
        <f>1654366.5</f>
        <v>1654366.5</v>
      </c>
    </row>
    <row r="61">
      <c r="A61" s="5" t="s">
        <v>159</v>
      </c>
      <c r="B61" s="7">
        <f>79598.87</f>
        <v>79598.87</v>
      </c>
    </row>
    <row r="62">
      <c r="A62" s="5" t="s">
        <v>160</v>
      </c>
      <c r="B62" s="8">
        <f>((B59)+(B60))+(B61)</f>
        <v>1733965.37</v>
      </c>
    </row>
    <row r="63">
      <c r="A63" s="5" t="s">
        <v>161</v>
      </c>
      <c r="B63" s="8">
        <f>(B57)+(B62)</f>
        <v>1751121.71</v>
      </c>
    </row>
    <row r="64">
      <c r="A64" s="5"/>
      <c r="B64" s="6"/>
    </row>
    <row r="65"/>
    <row r="66"/>
    <row r="67">
      <c r="A67" s="9" t="s">
        <v>183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36.14"/>
    <col customWidth="1" min="2" max="6" width="18.0"/>
    <col customWidth="1" min="7" max="26" width="8.71"/>
  </cols>
  <sheetData>
    <row r="1">
      <c r="A1" s="1" t="s">
        <v>0</v>
      </c>
    </row>
    <row r="2">
      <c r="A2" s="1" t="s">
        <v>1</v>
      </c>
    </row>
    <row r="3">
      <c r="A3" s="2" t="s">
        <v>172</v>
      </c>
    </row>
    <row r="5">
      <c r="A5" s="3"/>
      <c r="B5" s="4" t="s">
        <v>169</v>
      </c>
      <c r="C5" s="4" t="s">
        <v>170</v>
      </c>
      <c r="D5" s="4" t="s">
        <v>98</v>
      </c>
      <c r="E5" s="4" t="s">
        <v>163</v>
      </c>
      <c r="F5" s="4" t="s">
        <v>91</v>
      </c>
    </row>
    <row r="6">
      <c r="A6" s="5" t="s">
        <v>6</v>
      </c>
      <c r="B6" s="6"/>
      <c r="C6" s="6"/>
      <c r="D6" s="6"/>
      <c r="E6" s="6"/>
      <c r="F6" s="6"/>
    </row>
    <row r="7">
      <c r="A7" s="5" t="s">
        <v>173</v>
      </c>
      <c r="B7" s="6"/>
      <c r="C7" s="6"/>
      <c r="D7" s="6"/>
      <c r="E7" s="6"/>
      <c r="F7" s="7">
        <f t="shared" ref="F7:F14" si="1">(((B7)+(C7))+(D7))+(E7)</f>
        <v>0</v>
      </c>
    </row>
    <row r="8">
      <c r="A8" s="5" t="s">
        <v>174</v>
      </c>
      <c r="B8" s="7">
        <f>20726.38</f>
        <v>20726.38</v>
      </c>
      <c r="C8" s="7">
        <f>46659.21</f>
        <v>46659.21</v>
      </c>
      <c r="D8" s="6"/>
      <c r="E8" s="6"/>
      <c r="F8" s="7">
        <f t="shared" si="1"/>
        <v>67385.59</v>
      </c>
    </row>
    <row r="9">
      <c r="A9" s="5" t="s">
        <v>175</v>
      </c>
      <c r="B9" s="7">
        <f>2107.32</f>
        <v>2107.32</v>
      </c>
      <c r="C9" s="6"/>
      <c r="D9" s="6"/>
      <c r="E9" s="6"/>
      <c r="F9" s="7">
        <f t="shared" si="1"/>
        <v>2107.32</v>
      </c>
    </row>
    <row r="10">
      <c r="A10" s="5" t="s">
        <v>176</v>
      </c>
      <c r="B10" s="7">
        <f>650.79</f>
        <v>650.79</v>
      </c>
      <c r="C10" s="6"/>
      <c r="D10" s="6"/>
      <c r="E10" s="6"/>
      <c r="F10" s="7">
        <f t="shared" si="1"/>
        <v>650.79</v>
      </c>
    </row>
    <row r="11">
      <c r="A11" s="5" t="s">
        <v>177</v>
      </c>
      <c r="B11" s="8">
        <f t="shared" ref="B11:E11" si="2">((B8)+(B9))+(B10)</f>
        <v>23484.49</v>
      </c>
      <c r="C11" s="8">
        <f t="shared" si="2"/>
        <v>46659.21</v>
      </c>
      <c r="D11" s="8">
        <f t="shared" si="2"/>
        <v>0</v>
      </c>
      <c r="E11" s="8">
        <f t="shared" si="2"/>
        <v>0</v>
      </c>
      <c r="F11" s="8">
        <f t="shared" si="1"/>
        <v>70143.7</v>
      </c>
    </row>
    <row r="12">
      <c r="A12" s="5" t="s">
        <v>178</v>
      </c>
      <c r="B12" s="8">
        <f t="shared" ref="B12:E12" si="3">(B7)+(B11)</f>
        <v>23484.49</v>
      </c>
      <c r="C12" s="8">
        <f t="shared" si="3"/>
        <v>46659.21</v>
      </c>
      <c r="D12" s="8">
        <f t="shared" si="3"/>
        <v>0</v>
      </c>
      <c r="E12" s="8">
        <f t="shared" si="3"/>
        <v>0</v>
      </c>
      <c r="F12" s="8">
        <f t="shared" si="1"/>
        <v>70143.7</v>
      </c>
    </row>
    <row r="13">
      <c r="A13" s="5" t="s">
        <v>23</v>
      </c>
      <c r="B13" s="8">
        <f t="shared" ref="B13:E13" si="4">B12</f>
        <v>23484.49</v>
      </c>
      <c r="C13" s="8">
        <f t="shared" si="4"/>
        <v>46659.21</v>
      </c>
      <c r="D13" s="8">
        <f t="shared" si="4"/>
        <v>0</v>
      </c>
      <c r="E13" s="8">
        <f t="shared" si="4"/>
        <v>0</v>
      </c>
      <c r="F13" s="8">
        <f t="shared" si="1"/>
        <v>70143.7</v>
      </c>
    </row>
    <row r="14">
      <c r="A14" s="5" t="s">
        <v>24</v>
      </c>
      <c r="B14" s="8">
        <f t="shared" ref="B14:E14" si="5">(B13)-(0)</f>
        <v>23484.49</v>
      </c>
      <c r="C14" s="8">
        <f t="shared" si="5"/>
        <v>46659.21</v>
      </c>
      <c r="D14" s="8">
        <f t="shared" si="5"/>
        <v>0</v>
      </c>
      <c r="E14" s="8">
        <f t="shared" si="5"/>
        <v>0</v>
      </c>
      <c r="F14" s="8">
        <f t="shared" si="1"/>
        <v>70143.7</v>
      </c>
    </row>
    <row r="15">
      <c r="A15" s="5" t="s">
        <v>25</v>
      </c>
      <c r="B15" s="6"/>
      <c r="C15" s="6"/>
      <c r="D15" s="6"/>
      <c r="E15" s="6"/>
      <c r="F15" s="6"/>
    </row>
    <row r="16">
      <c r="A16" s="5" t="s">
        <v>26</v>
      </c>
      <c r="B16" s="6"/>
      <c r="C16" s="6"/>
      <c r="D16" s="6"/>
      <c r="E16" s="6"/>
      <c r="F16" s="7">
        <f t="shared" ref="F16:F63" si="6">(((B16)+(C16))+(D16))+(E16)</f>
        <v>0</v>
      </c>
    </row>
    <row r="17">
      <c r="A17" s="5" t="s">
        <v>27</v>
      </c>
      <c r="B17" s="6"/>
      <c r="C17" s="6"/>
      <c r="D17" s="6"/>
      <c r="E17" s="6"/>
      <c r="F17" s="7">
        <f t="shared" si="6"/>
        <v>0</v>
      </c>
    </row>
    <row r="18">
      <c r="A18" s="5" t="s">
        <v>29</v>
      </c>
      <c r="B18" s="6"/>
      <c r="C18" s="6"/>
      <c r="D18" s="6"/>
      <c r="E18" s="7">
        <f>225</f>
        <v>225</v>
      </c>
      <c r="F18" s="7">
        <f t="shared" si="6"/>
        <v>225</v>
      </c>
    </row>
    <row r="19">
      <c r="A19" s="5" t="s">
        <v>30</v>
      </c>
      <c r="B19" s="8">
        <f t="shared" ref="B19:E19" si="7">(B17)+(B18)</f>
        <v>0</v>
      </c>
      <c r="C19" s="8">
        <f t="shared" si="7"/>
        <v>0</v>
      </c>
      <c r="D19" s="8">
        <f t="shared" si="7"/>
        <v>0</v>
      </c>
      <c r="E19" s="8">
        <f t="shared" si="7"/>
        <v>225</v>
      </c>
      <c r="F19" s="8">
        <f t="shared" si="6"/>
        <v>225</v>
      </c>
    </row>
    <row r="20">
      <c r="A20" s="5" t="s">
        <v>31</v>
      </c>
      <c r="B20" s="6"/>
      <c r="C20" s="6"/>
      <c r="D20" s="6"/>
      <c r="E20" s="7">
        <f>570</f>
        <v>570</v>
      </c>
      <c r="F20" s="7">
        <f t="shared" si="6"/>
        <v>570</v>
      </c>
    </row>
    <row r="21">
      <c r="A21" s="5" t="s">
        <v>32</v>
      </c>
      <c r="B21" s="7">
        <f>50</f>
        <v>50</v>
      </c>
      <c r="C21" s="6"/>
      <c r="D21" s="6"/>
      <c r="E21" s="6"/>
      <c r="F21" s="7">
        <f t="shared" si="6"/>
        <v>50</v>
      </c>
    </row>
    <row r="22">
      <c r="A22" s="5" t="s">
        <v>179</v>
      </c>
      <c r="B22" s="6"/>
      <c r="C22" s="6"/>
      <c r="D22" s="6"/>
      <c r="E22" s="7">
        <f>3328.32</f>
        <v>3328.32</v>
      </c>
      <c r="F22" s="7">
        <f t="shared" si="6"/>
        <v>3328.32</v>
      </c>
    </row>
    <row r="23">
      <c r="A23" s="5" t="s">
        <v>33</v>
      </c>
      <c r="B23" s="6"/>
      <c r="C23" s="6"/>
      <c r="D23" s="6"/>
      <c r="E23" s="7">
        <f>1019.38</f>
        <v>1019.38</v>
      </c>
      <c r="F23" s="7">
        <f t="shared" si="6"/>
        <v>1019.38</v>
      </c>
    </row>
    <row r="24">
      <c r="A24" s="5" t="s">
        <v>34</v>
      </c>
      <c r="B24" s="6"/>
      <c r="C24" s="6"/>
      <c r="D24" s="6"/>
      <c r="E24" s="7">
        <f>99</f>
        <v>99</v>
      </c>
      <c r="F24" s="7">
        <f t="shared" si="6"/>
        <v>99</v>
      </c>
    </row>
    <row r="25">
      <c r="A25" s="5" t="s">
        <v>35</v>
      </c>
      <c r="B25" s="6"/>
      <c r="C25" s="6"/>
      <c r="D25" s="6"/>
      <c r="E25" s="7">
        <f>100</f>
        <v>100</v>
      </c>
      <c r="F25" s="7">
        <f t="shared" si="6"/>
        <v>100</v>
      </c>
    </row>
    <row r="26">
      <c r="A26" s="5" t="s">
        <v>36</v>
      </c>
      <c r="B26" s="6"/>
      <c r="C26" s="6"/>
      <c r="D26" s="6"/>
      <c r="E26" s="7">
        <f>48</f>
        <v>48</v>
      </c>
      <c r="F26" s="7">
        <f t="shared" si="6"/>
        <v>48</v>
      </c>
    </row>
    <row r="27">
      <c r="A27" s="5" t="s">
        <v>40</v>
      </c>
      <c r="B27" s="6"/>
      <c r="C27" s="6"/>
      <c r="D27" s="6"/>
      <c r="E27" s="7">
        <f>85</f>
        <v>85</v>
      </c>
      <c r="F27" s="7">
        <f t="shared" si="6"/>
        <v>85</v>
      </c>
    </row>
    <row r="28">
      <c r="A28" s="5" t="s">
        <v>41</v>
      </c>
      <c r="B28" s="8">
        <f t="shared" ref="B28:E28" si="8">(((((((((B16)+(B19))+(B20))+(B21))+(B22))+(B23))+(B24))+(B25))+(B26))+(B27)</f>
        <v>50</v>
      </c>
      <c r="C28" s="8">
        <f t="shared" si="8"/>
        <v>0</v>
      </c>
      <c r="D28" s="8">
        <f t="shared" si="8"/>
        <v>0</v>
      </c>
      <c r="E28" s="8">
        <f t="shared" si="8"/>
        <v>5474.7</v>
      </c>
      <c r="F28" s="8">
        <f t="shared" si="6"/>
        <v>5524.7</v>
      </c>
    </row>
    <row r="29">
      <c r="A29" s="5" t="s">
        <v>43</v>
      </c>
      <c r="B29" s="6"/>
      <c r="C29" s="6"/>
      <c r="D29" s="6"/>
      <c r="E29" s="6"/>
      <c r="F29" s="7">
        <f t="shared" si="6"/>
        <v>0</v>
      </c>
    </row>
    <row r="30">
      <c r="A30" s="5" t="s">
        <v>44</v>
      </c>
      <c r="B30" s="6"/>
      <c r="C30" s="6"/>
      <c r="D30" s="6"/>
      <c r="E30" s="6"/>
      <c r="F30" s="7">
        <f t="shared" si="6"/>
        <v>0</v>
      </c>
    </row>
    <row r="31">
      <c r="A31" s="5" t="s">
        <v>45</v>
      </c>
      <c r="B31" s="6"/>
      <c r="C31" s="6"/>
      <c r="D31" s="6"/>
      <c r="E31" s="6"/>
      <c r="F31" s="7">
        <f t="shared" si="6"/>
        <v>0</v>
      </c>
    </row>
    <row r="32">
      <c r="A32" s="5" t="s">
        <v>46</v>
      </c>
      <c r="B32" s="6"/>
      <c r="C32" s="6"/>
      <c r="D32" s="7">
        <f t="shared" ref="D32:D33" si="9">476.22</f>
        <v>476.22</v>
      </c>
      <c r="E32" s="6"/>
      <c r="F32" s="7">
        <f t="shared" si="6"/>
        <v>476.22</v>
      </c>
    </row>
    <row r="33">
      <c r="A33" s="5" t="s">
        <v>47</v>
      </c>
      <c r="B33" s="6"/>
      <c r="C33" s="6"/>
      <c r="D33" s="7">
        <f t="shared" si="9"/>
        <v>476.22</v>
      </c>
      <c r="E33" s="6"/>
      <c r="F33" s="7">
        <f t="shared" si="6"/>
        <v>476.22</v>
      </c>
    </row>
    <row r="34">
      <c r="A34" s="5" t="s">
        <v>48</v>
      </c>
      <c r="B34" s="6"/>
      <c r="C34" s="6"/>
      <c r="D34" s="7">
        <f>2108.12</f>
        <v>2108.12</v>
      </c>
      <c r="E34" s="6"/>
      <c r="F34" s="7">
        <f t="shared" si="6"/>
        <v>2108.12</v>
      </c>
    </row>
    <row r="35">
      <c r="A35" s="5" t="s">
        <v>49</v>
      </c>
      <c r="B35" s="6"/>
      <c r="C35" s="6"/>
      <c r="D35" s="7">
        <f>1195.13</f>
        <v>1195.13</v>
      </c>
      <c r="E35" s="6"/>
      <c r="F35" s="7">
        <f t="shared" si="6"/>
        <v>1195.13</v>
      </c>
    </row>
    <row r="36">
      <c r="A36" s="5" t="s">
        <v>50</v>
      </c>
      <c r="B36" s="6"/>
      <c r="C36" s="6"/>
      <c r="D36" s="7">
        <f>1137.97</f>
        <v>1137.97</v>
      </c>
      <c r="E36" s="6"/>
      <c r="F36" s="7">
        <f t="shared" si="6"/>
        <v>1137.97</v>
      </c>
    </row>
    <row r="37">
      <c r="A37" s="5" t="s">
        <v>52</v>
      </c>
      <c r="B37" s="6"/>
      <c r="C37" s="6"/>
      <c r="D37" s="7">
        <f>447.79</f>
        <v>447.79</v>
      </c>
      <c r="E37" s="6"/>
      <c r="F37" s="7">
        <f t="shared" si="6"/>
        <v>447.79</v>
      </c>
    </row>
    <row r="38">
      <c r="A38" s="5" t="s">
        <v>53</v>
      </c>
      <c r="B38" s="6"/>
      <c r="C38" s="6"/>
      <c r="D38" s="7">
        <f>3452.77</f>
        <v>3452.77</v>
      </c>
      <c r="E38" s="6"/>
      <c r="F38" s="7">
        <f t="shared" si="6"/>
        <v>3452.77</v>
      </c>
    </row>
    <row r="39">
      <c r="A39" s="5" t="s">
        <v>54</v>
      </c>
      <c r="B39" s="6"/>
      <c r="C39" s="6"/>
      <c r="D39" s="7">
        <f>1609.97</f>
        <v>1609.97</v>
      </c>
      <c r="E39" s="6"/>
      <c r="F39" s="7">
        <f t="shared" si="6"/>
        <v>1609.97</v>
      </c>
    </row>
    <row r="40">
      <c r="A40" s="5" t="s">
        <v>55</v>
      </c>
      <c r="B40" s="6"/>
      <c r="C40" s="6"/>
      <c r="D40" s="7">
        <f>196.17</f>
        <v>196.17</v>
      </c>
      <c r="E40" s="6"/>
      <c r="F40" s="7">
        <f t="shared" si="6"/>
        <v>196.17</v>
      </c>
    </row>
    <row r="41">
      <c r="A41" s="5" t="s">
        <v>56</v>
      </c>
      <c r="B41" s="6"/>
      <c r="C41" s="6"/>
      <c r="D41" s="7">
        <f>1016.85</f>
        <v>1016.85</v>
      </c>
      <c r="E41" s="6"/>
      <c r="F41" s="7">
        <f t="shared" si="6"/>
        <v>1016.85</v>
      </c>
    </row>
    <row r="42">
      <c r="A42" s="5" t="s">
        <v>58</v>
      </c>
      <c r="B42" s="6"/>
      <c r="C42" s="6"/>
      <c r="D42" s="7">
        <f>1270.96</f>
        <v>1270.96</v>
      </c>
      <c r="E42" s="6"/>
      <c r="F42" s="7">
        <f t="shared" si="6"/>
        <v>1270.96</v>
      </c>
    </row>
    <row r="43">
      <c r="A43" s="5" t="s">
        <v>59</v>
      </c>
      <c r="B43" s="6"/>
      <c r="C43" s="6"/>
      <c r="D43" s="7">
        <f>3403.04</f>
        <v>3403.04</v>
      </c>
      <c r="E43" s="6"/>
      <c r="F43" s="7">
        <f t="shared" si="6"/>
        <v>3403.04</v>
      </c>
    </row>
    <row r="44">
      <c r="A44" s="5" t="s">
        <v>60</v>
      </c>
      <c r="B44" s="6"/>
      <c r="C44" s="6"/>
      <c r="D44" s="7">
        <f>1438.82</f>
        <v>1438.82</v>
      </c>
      <c r="E44" s="6"/>
      <c r="F44" s="7">
        <f t="shared" si="6"/>
        <v>1438.82</v>
      </c>
    </row>
    <row r="45">
      <c r="A45" s="5" t="s">
        <v>61</v>
      </c>
      <c r="B45" s="8">
        <f t="shared" ref="B45:E45" si="10">(((((((((((((B31)+(B32))+(B33))+(B34))+(B35))+(B36))+(B37))+(B38))+(B39))+(B40))+(B41))+(B42))+(B43))+(B44)</f>
        <v>0</v>
      </c>
      <c r="C45" s="8">
        <f t="shared" si="10"/>
        <v>0</v>
      </c>
      <c r="D45" s="8">
        <f t="shared" si="10"/>
        <v>18230.03</v>
      </c>
      <c r="E45" s="8">
        <f t="shared" si="10"/>
        <v>0</v>
      </c>
      <c r="F45" s="8">
        <f t="shared" si="6"/>
        <v>18230.03</v>
      </c>
    </row>
    <row r="46">
      <c r="A46" s="5" t="s">
        <v>62</v>
      </c>
      <c r="B46" s="8">
        <f t="shared" ref="B46:E46" si="11">(B30)+(B45)</f>
        <v>0</v>
      </c>
      <c r="C46" s="8">
        <f t="shared" si="11"/>
        <v>0</v>
      </c>
      <c r="D46" s="8">
        <f t="shared" si="11"/>
        <v>18230.03</v>
      </c>
      <c r="E46" s="8">
        <f t="shared" si="11"/>
        <v>0</v>
      </c>
      <c r="F46" s="8">
        <f t="shared" si="6"/>
        <v>18230.03</v>
      </c>
    </row>
    <row r="47">
      <c r="A47" s="5" t="s">
        <v>63</v>
      </c>
      <c r="B47" s="6"/>
      <c r="C47" s="6"/>
      <c r="D47" s="6"/>
      <c r="E47" s="6"/>
      <c r="F47" s="7">
        <f t="shared" si="6"/>
        <v>0</v>
      </c>
    </row>
    <row r="48">
      <c r="A48" s="5" t="s">
        <v>64</v>
      </c>
      <c r="B48" s="6"/>
      <c r="C48" s="6"/>
      <c r="D48" s="6"/>
      <c r="E48" s="6"/>
      <c r="F48" s="7">
        <f t="shared" si="6"/>
        <v>0</v>
      </c>
    </row>
    <row r="49">
      <c r="A49" s="5" t="s">
        <v>65</v>
      </c>
      <c r="B49" s="7">
        <f>6788.43</f>
        <v>6788.43</v>
      </c>
      <c r="C49" s="7">
        <f>6242.93</f>
        <v>6242.93</v>
      </c>
      <c r="D49" s="6"/>
      <c r="E49" s="6"/>
      <c r="F49" s="7">
        <f t="shared" si="6"/>
        <v>13031.36</v>
      </c>
    </row>
    <row r="50">
      <c r="A50" s="5" t="s">
        <v>66</v>
      </c>
      <c r="B50" s="6"/>
      <c r="C50" s="6"/>
      <c r="D50" s="6"/>
      <c r="E50" s="6"/>
      <c r="F50" s="7">
        <f t="shared" si="6"/>
        <v>0</v>
      </c>
    </row>
    <row r="51">
      <c r="A51" s="5" t="s">
        <v>67</v>
      </c>
      <c r="B51" s="6"/>
      <c r="C51" s="7">
        <f>2000</f>
        <v>2000</v>
      </c>
      <c r="D51" s="6"/>
      <c r="E51" s="6"/>
      <c r="F51" s="7">
        <f t="shared" si="6"/>
        <v>2000</v>
      </c>
    </row>
    <row r="52">
      <c r="A52" s="5" t="s">
        <v>180</v>
      </c>
      <c r="B52" s="6"/>
      <c r="C52" s="7">
        <f>500</f>
        <v>500</v>
      </c>
      <c r="D52" s="6"/>
      <c r="E52" s="6"/>
      <c r="F52" s="7">
        <f t="shared" si="6"/>
        <v>500</v>
      </c>
    </row>
    <row r="53">
      <c r="A53" s="5" t="s">
        <v>68</v>
      </c>
      <c r="B53" s="6"/>
      <c r="C53" s="7">
        <f>176.99</f>
        <v>176.99</v>
      </c>
      <c r="D53" s="6"/>
      <c r="E53" s="6"/>
      <c r="F53" s="7">
        <f t="shared" si="6"/>
        <v>176.99</v>
      </c>
    </row>
    <row r="54">
      <c r="A54" s="5" t="s">
        <v>69</v>
      </c>
      <c r="B54" s="8">
        <f t="shared" ref="B54:E54" si="12">(((B50)+(B51))+(B52))+(B53)</f>
        <v>0</v>
      </c>
      <c r="C54" s="8">
        <f t="shared" si="12"/>
        <v>2676.99</v>
      </c>
      <c r="D54" s="8">
        <f t="shared" si="12"/>
        <v>0</v>
      </c>
      <c r="E54" s="8">
        <f t="shared" si="12"/>
        <v>0</v>
      </c>
      <c r="F54" s="8">
        <f t="shared" si="6"/>
        <v>2676.99</v>
      </c>
    </row>
    <row r="55">
      <c r="A55" s="5" t="s">
        <v>70</v>
      </c>
      <c r="B55" s="6"/>
      <c r="C55" s="7">
        <f>426.25</f>
        <v>426.25</v>
      </c>
      <c r="D55" s="6"/>
      <c r="E55" s="6"/>
      <c r="F55" s="7">
        <f t="shared" si="6"/>
        <v>426.25</v>
      </c>
    </row>
    <row r="56">
      <c r="A56" s="5" t="s">
        <v>71</v>
      </c>
      <c r="B56" s="6"/>
      <c r="C56" s="7">
        <f>3476.25</f>
        <v>3476.25</v>
      </c>
      <c r="D56" s="6"/>
      <c r="E56" s="6"/>
      <c r="F56" s="7">
        <f t="shared" si="6"/>
        <v>3476.25</v>
      </c>
    </row>
    <row r="57">
      <c r="A57" s="5" t="s">
        <v>72</v>
      </c>
      <c r="B57" s="6"/>
      <c r="C57" s="7">
        <f>753.75</f>
        <v>753.75</v>
      </c>
      <c r="D57" s="6"/>
      <c r="E57" s="6"/>
      <c r="F57" s="7">
        <f t="shared" si="6"/>
        <v>753.75</v>
      </c>
    </row>
    <row r="58">
      <c r="A58" s="5" t="s">
        <v>73</v>
      </c>
      <c r="B58" s="8">
        <f t="shared" ref="B58:E58" si="13">(((((B48)+(B49))+(B54))+(B55))+(B56))+(B57)</f>
        <v>6788.43</v>
      </c>
      <c r="C58" s="8">
        <f t="shared" si="13"/>
        <v>13576.17</v>
      </c>
      <c r="D58" s="8">
        <f t="shared" si="13"/>
        <v>0</v>
      </c>
      <c r="E58" s="8">
        <f t="shared" si="13"/>
        <v>0</v>
      </c>
      <c r="F58" s="8">
        <f t="shared" si="6"/>
        <v>20364.6</v>
      </c>
    </row>
    <row r="59">
      <c r="A59" s="5" t="s">
        <v>75</v>
      </c>
      <c r="B59" s="8">
        <f t="shared" ref="B59:E59" si="14">(B47)+(B58)</f>
        <v>6788.43</v>
      </c>
      <c r="C59" s="8">
        <f t="shared" si="14"/>
        <v>13576.17</v>
      </c>
      <c r="D59" s="8">
        <f t="shared" si="14"/>
        <v>0</v>
      </c>
      <c r="E59" s="8">
        <f t="shared" si="14"/>
        <v>0</v>
      </c>
      <c r="F59" s="8">
        <f t="shared" si="6"/>
        <v>20364.6</v>
      </c>
    </row>
    <row r="60">
      <c r="A60" s="5" t="s">
        <v>76</v>
      </c>
      <c r="B60" s="8">
        <f t="shared" ref="B60:E60" si="15">((B29)+(B46))+(B59)</f>
        <v>6788.43</v>
      </c>
      <c r="C60" s="8">
        <f t="shared" si="15"/>
        <v>13576.17</v>
      </c>
      <c r="D60" s="8">
        <f t="shared" si="15"/>
        <v>18230.03</v>
      </c>
      <c r="E60" s="8">
        <f t="shared" si="15"/>
        <v>0</v>
      </c>
      <c r="F60" s="8">
        <f t="shared" si="6"/>
        <v>38594.63</v>
      </c>
    </row>
    <row r="61">
      <c r="A61" s="5" t="s">
        <v>77</v>
      </c>
      <c r="B61" s="8">
        <f t="shared" ref="B61:E61" si="16">(B28)+(B60)</f>
        <v>6838.43</v>
      </c>
      <c r="C61" s="8">
        <f t="shared" si="16"/>
        <v>13576.17</v>
      </c>
      <c r="D61" s="8">
        <f t="shared" si="16"/>
        <v>18230.03</v>
      </c>
      <c r="E61" s="8">
        <f t="shared" si="16"/>
        <v>5474.7</v>
      </c>
      <c r="F61" s="8">
        <f t="shared" si="6"/>
        <v>44119.33</v>
      </c>
    </row>
    <row r="62">
      <c r="A62" s="5" t="s">
        <v>78</v>
      </c>
      <c r="B62" s="8">
        <f t="shared" ref="B62:E62" si="17">(B14)-(B61)</f>
        <v>16646.06</v>
      </c>
      <c r="C62" s="8">
        <f t="shared" si="17"/>
        <v>33083.04</v>
      </c>
      <c r="D62" s="8">
        <f t="shared" si="17"/>
        <v>-18230.03</v>
      </c>
      <c r="E62" s="8">
        <f t="shared" si="17"/>
        <v>-5474.7</v>
      </c>
      <c r="F62" s="8">
        <f t="shared" si="6"/>
        <v>26024.37</v>
      </c>
    </row>
    <row r="63">
      <c r="A63" s="5" t="s">
        <v>79</v>
      </c>
      <c r="B63" s="8">
        <f t="shared" ref="B63:E63" si="18">(B62)+(0)</f>
        <v>16646.06</v>
      </c>
      <c r="C63" s="8">
        <f t="shared" si="18"/>
        <v>33083.04</v>
      </c>
      <c r="D63" s="8">
        <f t="shared" si="18"/>
        <v>-18230.03</v>
      </c>
      <c r="E63" s="8">
        <f t="shared" si="18"/>
        <v>-5474.7</v>
      </c>
      <c r="F63" s="8">
        <f t="shared" si="6"/>
        <v>26024.37</v>
      </c>
    </row>
    <row r="64">
      <c r="A64" s="5"/>
      <c r="B64" s="6"/>
      <c r="C64" s="6"/>
      <c r="D64" s="6"/>
      <c r="E64" s="6"/>
      <c r="F64" s="6"/>
    </row>
    <row r="65"/>
    <row r="66"/>
    <row r="67">
      <c r="A67" s="9" t="s">
        <v>184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7:F6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30.14"/>
    <col customWidth="1" min="2" max="7" width="15.43"/>
    <col customWidth="1" min="8" max="26" width="8.71"/>
  </cols>
  <sheetData>
    <row r="1">
      <c r="A1" s="1" t="s">
        <v>0</v>
      </c>
    </row>
    <row r="2">
      <c r="A2" s="1" t="s">
        <v>81</v>
      </c>
    </row>
    <row r="3">
      <c r="A3" s="2" t="s">
        <v>82</v>
      </c>
    </row>
    <row r="5">
      <c r="A5" s="3"/>
      <c r="B5" s="4" t="s">
        <v>83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5</v>
      </c>
    </row>
    <row r="6">
      <c r="A6" s="5" t="s">
        <v>88</v>
      </c>
      <c r="B6" s="6"/>
      <c r="C6" s="7">
        <f>3000</f>
        <v>3000</v>
      </c>
      <c r="D6" s="6"/>
      <c r="E6" s="6"/>
      <c r="F6" s="6"/>
      <c r="G6" s="7">
        <f t="shared" ref="G6:G9" si="1">((((B6)+(C6))+(D6))+(E6))+(F6)</f>
        <v>3000</v>
      </c>
    </row>
    <row r="7">
      <c r="A7" s="5" t="s">
        <v>89</v>
      </c>
      <c r="B7" s="7">
        <f>8.7</f>
        <v>8.7</v>
      </c>
      <c r="C7" s="6"/>
      <c r="D7" s="6"/>
      <c r="E7" s="6"/>
      <c r="F7" s="6"/>
      <c r="G7" s="7">
        <f t="shared" si="1"/>
        <v>8.7</v>
      </c>
    </row>
    <row r="8">
      <c r="A8" s="5" t="s">
        <v>90</v>
      </c>
      <c r="B8" s="7">
        <f>46.13</f>
        <v>46.13</v>
      </c>
      <c r="C8" s="6"/>
      <c r="D8" s="6"/>
      <c r="E8" s="6"/>
      <c r="F8" s="6"/>
      <c r="G8" s="7">
        <f t="shared" si="1"/>
        <v>46.13</v>
      </c>
    </row>
    <row r="9">
      <c r="A9" s="5" t="s">
        <v>91</v>
      </c>
      <c r="B9" s="8">
        <f t="shared" ref="B9:F9" si="2">((B6)+(B7))+(B8)</f>
        <v>54.83</v>
      </c>
      <c r="C9" s="8">
        <f t="shared" si="2"/>
        <v>3000</v>
      </c>
      <c r="D9" s="8">
        <f t="shared" si="2"/>
        <v>0</v>
      </c>
      <c r="E9" s="8">
        <f t="shared" si="2"/>
        <v>0</v>
      </c>
      <c r="F9" s="8">
        <f t="shared" si="2"/>
        <v>0</v>
      </c>
      <c r="G9" s="8">
        <f t="shared" si="1"/>
        <v>3054.83</v>
      </c>
    </row>
    <row r="10">
      <c r="A10" s="5"/>
      <c r="B10" s="6"/>
      <c r="C10" s="6"/>
      <c r="D10" s="6"/>
      <c r="E10" s="6"/>
      <c r="F10" s="6"/>
      <c r="G10" s="6"/>
    </row>
    <row r="13">
      <c r="A13" s="9" t="s">
        <v>92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3:G1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7" width="15.43"/>
    <col customWidth="1" min="8" max="26" width="8.71"/>
  </cols>
  <sheetData>
    <row r="1">
      <c r="A1" s="1" t="s">
        <v>0</v>
      </c>
    </row>
    <row r="2">
      <c r="A2" s="1" t="s">
        <v>93</v>
      </c>
    </row>
    <row r="3">
      <c r="A3" s="2" t="s">
        <v>82</v>
      </c>
    </row>
    <row r="5">
      <c r="A5" s="3"/>
      <c r="B5" s="4" t="s">
        <v>83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5</v>
      </c>
    </row>
    <row r="6">
      <c r="A6" s="5" t="s">
        <v>94</v>
      </c>
      <c r="B6" s="6"/>
      <c r="C6" s="6"/>
      <c r="D6" s="6"/>
      <c r="E6" s="6"/>
      <c r="F6" s="6"/>
      <c r="G6" s="7">
        <f t="shared" ref="G6:G11" si="1">((((B6)+(C6))+(D6))+(E6))+(F6)</f>
        <v>0</v>
      </c>
    </row>
    <row r="7">
      <c r="A7" s="5" t="s">
        <v>95</v>
      </c>
      <c r="B7" s="7">
        <f>23197.89</f>
        <v>23197.89</v>
      </c>
      <c r="C7" s="6"/>
      <c r="D7" s="6"/>
      <c r="E7" s="7">
        <f>23461.32</f>
        <v>23461.32</v>
      </c>
      <c r="F7" s="6"/>
      <c r="G7" s="7">
        <f t="shared" si="1"/>
        <v>46659.21</v>
      </c>
    </row>
    <row r="8">
      <c r="A8" s="5" t="s">
        <v>96</v>
      </c>
      <c r="B8" s="8">
        <f t="shared" ref="B8:F8" si="2">(B6)+(B7)</f>
        <v>23197.89</v>
      </c>
      <c r="C8" s="8">
        <f t="shared" si="2"/>
        <v>0</v>
      </c>
      <c r="D8" s="8">
        <f t="shared" si="2"/>
        <v>0</v>
      </c>
      <c r="E8" s="8">
        <f t="shared" si="2"/>
        <v>23461.32</v>
      </c>
      <c r="F8" s="8">
        <f t="shared" si="2"/>
        <v>0</v>
      </c>
      <c r="G8" s="8">
        <f t="shared" si="1"/>
        <v>46659.21</v>
      </c>
    </row>
    <row r="9">
      <c r="A9" s="5" t="s">
        <v>97</v>
      </c>
      <c r="B9" s="7">
        <f>23484.49</f>
        <v>23484.49</v>
      </c>
      <c r="C9" s="6"/>
      <c r="D9" s="6"/>
      <c r="E9" s="6"/>
      <c r="F9" s="6"/>
      <c r="G9" s="7">
        <f t="shared" si="1"/>
        <v>23484.49</v>
      </c>
    </row>
    <row r="10">
      <c r="A10" s="5" t="s">
        <v>98</v>
      </c>
      <c r="B10" s="7">
        <f>119958.48</f>
        <v>119958.48</v>
      </c>
      <c r="C10" s="6"/>
      <c r="D10" s="6"/>
      <c r="E10" s="6"/>
      <c r="F10" s="6"/>
      <c r="G10" s="7">
        <f t="shared" si="1"/>
        <v>119958.48</v>
      </c>
    </row>
    <row r="11">
      <c r="A11" s="5" t="s">
        <v>91</v>
      </c>
      <c r="B11" s="8">
        <f t="shared" ref="B11:F11" si="3">((B8)+(B9))+(B10)</f>
        <v>166640.86</v>
      </c>
      <c r="C11" s="8">
        <f t="shared" si="3"/>
        <v>0</v>
      </c>
      <c r="D11" s="8">
        <f t="shared" si="3"/>
        <v>0</v>
      </c>
      <c r="E11" s="8">
        <f t="shared" si="3"/>
        <v>23461.32</v>
      </c>
      <c r="F11" s="8">
        <f t="shared" si="3"/>
        <v>0</v>
      </c>
      <c r="G11" s="8">
        <f t="shared" si="1"/>
        <v>190102.18</v>
      </c>
    </row>
    <row r="12">
      <c r="A12" s="5"/>
      <c r="B12" s="6"/>
      <c r="C12" s="6"/>
      <c r="D12" s="6"/>
      <c r="E12" s="6"/>
      <c r="F12" s="6"/>
      <c r="G12" s="6"/>
    </row>
    <row r="15">
      <c r="A15" s="9" t="s">
        <v>99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5:G1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2" width="54.14"/>
    <col customWidth="1" min="3" max="26" width="8.71"/>
  </cols>
  <sheetData>
    <row r="1">
      <c r="A1" s="1" t="s">
        <v>0</v>
      </c>
    </row>
    <row r="2">
      <c r="A2" s="1" t="s">
        <v>1</v>
      </c>
    </row>
    <row r="3">
      <c r="A3" s="2" t="s">
        <v>100</v>
      </c>
    </row>
    <row r="5">
      <c r="A5" s="3"/>
      <c r="B5" s="4" t="s">
        <v>5</v>
      </c>
    </row>
    <row r="6">
      <c r="A6" s="5" t="s">
        <v>6</v>
      </c>
      <c r="B6" s="6"/>
    </row>
    <row r="7">
      <c r="A7" s="5" t="s">
        <v>7</v>
      </c>
      <c r="B7" s="6"/>
    </row>
    <row r="8">
      <c r="A8" s="5" t="s">
        <v>8</v>
      </c>
      <c r="B8" s="7">
        <f t="shared" ref="B8:B9" si="1">2577.08</f>
        <v>2577.08</v>
      </c>
    </row>
    <row r="9">
      <c r="A9" s="5" t="s">
        <v>9</v>
      </c>
      <c r="B9" s="7">
        <f t="shared" si="1"/>
        <v>2577.08</v>
      </c>
    </row>
    <row r="10">
      <c r="A10" s="5" t="s">
        <v>10</v>
      </c>
      <c r="B10" s="7">
        <f>33266.72</f>
        <v>33266.72</v>
      </c>
    </row>
    <row r="11">
      <c r="A11" s="5" t="s">
        <v>11</v>
      </c>
      <c r="B11" s="7">
        <f>2586.08</f>
        <v>2586.08</v>
      </c>
    </row>
    <row r="12">
      <c r="A12" s="5" t="s">
        <v>12</v>
      </c>
      <c r="B12" s="7">
        <f>2573.85</f>
        <v>2573.85</v>
      </c>
    </row>
    <row r="13">
      <c r="A13" s="5" t="s">
        <v>13</v>
      </c>
      <c r="B13" s="7">
        <f>2576.08</f>
        <v>2576.08</v>
      </c>
    </row>
    <row r="14">
      <c r="A14" s="5" t="s">
        <v>14</v>
      </c>
      <c r="B14" s="7">
        <f>15000</f>
        <v>15000</v>
      </c>
    </row>
    <row r="15">
      <c r="A15" s="5" t="s">
        <v>15</v>
      </c>
      <c r="B15" s="7">
        <f>8157.31</f>
        <v>8157.31</v>
      </c>
    </row>
    <row r="16">
      <c r="A16" s="5" t="s">
        <v>16</v>
      </c>
      <c r="B16" s="7">
        <f t="shared" ref="B16:B17" si="2">9738.23</f>
        <v>9738.23</v>
      </c>
    </row>
    <row r="17">
      <c r="A17" s="5" t="s">
        <v>17</v>
      </c>
      <c r="B17" s="7">
        <f t="shared" si="2"/>
        <v>9738.23</v>
      </c>
    </row>
    <row r="18">
      <c r="A18" s="5" t="s">
        <v>18</v>
      </c>
      <c r="B18" s="7">
        <f>18839.93</f>
        <v>18839.93</v>
      </c>
    </row>
    <row r="19">
      <c r="A19" s="5" t="s">
        <v>19</v>
      </c>
      <c r="B19" s="7">
        <f>4876.41</f>
        <v>4876.41</v>
      </c>
    </row>
    <row r="20">
      <c r="A20" s="5" t="s">
        <v>20</v>
      </c>
      <c r="B20" s="7">
        <f>4874.4</f>
        <v>4874.4</v>
      </c>
    </row>
    <row r="21">
      <c r="A21" s="5" t="s">
        <v>21</v>
      </c>
      <c r="B21" s="7">
        <f>2577.08</f>
        <v>2577.08</v>
      </c>
    </row>
    <row r="22">
      <c r="A22" s="5" t="s">
        <v>22</v>
      </c>
      <c r="B22" s="8">
        <f>((((((((((((((B7)+(B8))+(B9))+(B10))+(B11))+(B12))+(B13))+(B14))+(B15))+(B16))+(B17))+(B18))+(B19))+(B20))+(B21)</f>
        <v>119958.48</v>
      </c>
    </row>
    <row r="23">
      <c r="A23" s="5" t="s">
        <v>23</v>
      </c>
      <c r="B23" s="8">
        <f>B22</f>
        <v>119958.48</v>
      </c>
    </row>
    <row r="24">
      <c r="A24" s="5" t="s">
        <v>24</v>
      </c>
      <c r="B24" s="8">
        <f>(B23)-(0)</f>
        <v>119958.48</v>
      </c>
    </row>
    <row r="25">
      <c r="A25" s="5" t="s">
        <v>25</v>
      </c>
      <c r="B25" s="6"/>
    </row>
    <row r="26">
      <c r="A26" s="5" t="s">
        <v>26</v>
      </c>
      <c r="B26" s="6"/>
    </row>
    <row r="27">
      <c r="A27" s="5" t="s">
        <v>32</v>
      </c>
      <c r="B27" s="7">
        <f>389.4</f>
        <v>389.4</v>
      </c>
    </row>
    <row r="28">
      <c r="A28" s="5" t="s">
        <v>33</v>
      </c>
      <c r="B28" s="7">
        <f>46.13</f>
        <v>46.13</v>
      </c>
    </row>
    <row r="29">
      <c r="A29" s="5" t="s">
        <v>37</v>
      </c>
      <c r="B29" s="6"/>
    </row>
    <row r="30">
      <c r="A30" s="5" t="s">
        <v>38</v>
      </c>
      <c r="B30" s="7">
        <f>680.75</f>
        <v>680.75</v>
      </c>
    </row>
    <row r="31">
      <c r="A31" s="5" t="s">
        <v>39</v>
      </c>
      <c r="B31" s="8">
        <f>(B29)+(B30)</f>
        <v>680.75</v>
      </c>
    </row>
    <row r="32">
      <c r="A32" s="5" t="s">
        <v>40</v>
      </c>
      <c r="B32" s="7">
        <f>85</f>
        <v>85</v>
      </c>
    </row>
    <row r="33">
      <c r="A33" s="5" t="s">
        <v>41</v>
      </c>
      <c r="B33" s="8">
        <f>((((B26)+(B27))+(B28))+(B31))+(B32)</f>
        <v>1201.28</v>
      </c>
    </row>
    <row r="34">
      <c r="A34" s="5" t="s">
        <v>77</v>
      </c>
      <c r="B34" s="8">
        <f>B33</f>
        <v>1201.28</v>
      </c>
    </row>
    <row r="35">
      <c r="A35" s="5" t="s">
        <v>78</v>
      </c>
      <c r="B35" s="8">
        <f>(B24)-(B34)</f>
        <v>118757.2</v>
      </c>
    </row>
    <row r="36">
      <c r="A36" s="5" t="s">
        <v>79</v>
      </c>
      <c r="B36" s="8">
        <f>(B35)+(0)</f>
        <v>118757.2</v>
      </c>
    </row>
    <row r="37">
      <c r="A37" s="5"/>
      <c r="B37" s="6"/>
    </row>
    <row r="38"/>
    <row r="39"/>
    <row r="40">
      <c r="A40" s="9" t="s">
        <v>101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40:B4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61.86"/>
    <col customWidth="1" min="2" max="2" width="54.14"/>
    <col customWidth="1" min="3" max="26" width="8.71"/>
  </cols>
  <sheetData>
    <row r="1">
      <c r="A1" s="1" t="s">
        <v>0</v>
      </c>
    </row>
    <row r="2">
      <c r="A2" s="1" t="s">
        <v>102</v>
      </c>
    </row>
    <row r="3">
      <c r="A3" s="2" t="s">
        <v>82</v>
      </c>
    </row>
    <row r="5">
      <c r="A5" s="3"/>
      <c r="B5" s="4" t="s">
        <v>5</v>
      </c>
    </row>
    <row r="6">
      <c r="A6" s="5" t="s">
        <v>103</v>
      </c>
      <c r="B6" s="6"/>
    </row>
    <row r="7">
      <c r="A7" s="5" t="s">
        <v>104</v>
      </c>
      <c r="B7" s="6"/>
    </row>
    <row r="8">
      <c r="A8" s="5" t="s">
        <v>105</v>
      </c>
      <c r="B8" s="6"/>
    </row>
    <row r="9">
      <c r="A9" s="5" t="s">
        <v>106</v>
      </c>
      <c r="B9" s="6"/>
    </row>
    <row r="10">
      <c r="A10" s="5" t="s">
        <v>107</v>
      </c>
      <c r="B10" s="7">
        <f>165000</f>
        <v>165000</v>
      </c>
    </row>
    <row r="11">
      <c r="A11" s="5" t="s">
        <v>108</v>
      </c>
      <c r="B11" s="7">
        <f>125000</f>
        <v>125000</v>
      </c>
    </row>
    <row r="12">
      <c r="A12" s="5" t="s">
        <v>109</v>
      </c>
      <c r="B12" s="7">
        <f>64094.49</f>
        <v>64094.49</v>
      </c>
    </row>
    <row r="13">
      <c r="A13" s="5" t="s">
        <v>110</v>
      </c>
      <c r="B13" s="8">
        <f>(((B9)+(B10))+(B11))+(B12)</f>
        <v>354094.49</v>
      </c>
    </row>
    <row r="14">
      <c r="A14" s="5" t="s">
        <v>111</v>
      </c>
      <c r="B14" s="6"/>
    </row>
    <row r="15">
      <c r="A15" s="5" t="s">
        <v>112</v>
      </c>
      <c r="B15" s="7">
        <f>256867.57</f>
        <v>256867.57</v>
      </c>
    </row>
    <row r="16">
      <c r="A16" s="5" t="s">
        <v>113</v>
      </c>
      <c r="B16" s="7">
        <f>157471.43</f>
        <v>157471.43</v>
      </c>
    </row>
    <row r="17">
      <c r="A17" s="5" t="s">
        <v>114</v>
      </c>
      <c r="B17" s="7">
        <f>98244.87</f>
        <v>98244.87</v>
      </c>
    </row>
    <row r="18">
      <c r="A18" s="5" t="s">
        <v>115</v>
      </c>
      <c r="B18" s="8">
        <f>(((B14)+(B15))+(B16))+(B17)</f>
        <v>512583.87</v>
      </c>
    </row>
    <row r="19">
      <c r="A19" s="5" t="s">
        <v>116</v>
      </c>
      <c r="B19" s="8">
        <f>(B13)+(B18)</f>
        <v>866678.36</v>
      </c>
    </row>
    <row r="20">
      <c r="A20" s="5" t="s">
        <v>117</v>
      </c>
      <c r="B20" s="6"/>
    </row>
    <row r="21">
      <c r="A21" s="5" t="s">
        <v>118</v>
      </c>
      <c r="B21" s="7">
        <f>190102.18</f>
        <v>190102.18</v>
      </c>
    </row>
    <row r="22">
      <c r="A22" s="5" t="s">
        <v>119</v>
      </c>
      <c r="B22" s="8">
        <f>B21</f>
        <v>190102.18</v>
      </c>
    </row>
    <row r="23">
      <c r="A23" s="5" t="s">
        <v>120</v>
      </c>
      <c r="B23" s="6"/>
    </row>
    <row r="24">
      <c r="A24" s="5" t="s">
        <v>121</v>
      </c>
      <c r="B24" s="7">
        <f t="shared" ref="B24:B30" si="1">0</f>
        <v>0</v>
      </c>
    </row>
    <row r="25">
      <c r="A25" s="5" t="s">
        <v>122</v>
      </c>
      <c r="B25" s="7">
        <f t="shared" si="1"/>
        <v>0</v>
      </c>
    </row>
    <row r="26">
      <c r="A26" s="5" t="s">
        <v>123</v>
      </c>
      <c r="B26" s="7">
        <f t="shared" si="1"/>
        <v>0</v>
      </c>
    </row>
    <row r="27">
      <c r="A27" s="5" t="s">
        <v>124</v>
      </c>
      <c r="B27" s="7">
        <f t="shared" si="1"/>
        <v>0</v>
      </c>
    </row>
    <row r="28">
      <c r="A28" s="5" t="s">
        <v>125</v>
      </c>
      <c r="B28" s="7">
        <f t="shared" si="1"/>
        <v>0</v>
      </c>
    </row>
    <row r="29">
      <c r="A29" s="5" t="s">
        <v>126</v>
      </c>
      <c r="B29" s="7">
        <f t="shared" si="1"/>
        <v>0</v>
      </c>
    </row>
    <row r="30">
      <c r="A30" s="5" t="s">
        <v>127</v>
      </c>
      <c r="B30" s="7">
        <f t="shared" si="1"/>
        <v>0</v>
      </c>
    </row>
    <row r="31">
      <c r="A31" s="5" t="s">
        <v>128</v>
      </c>
      <c r="B31" s="8">
        <f>((((((B24)+(B25))+(B26))+(B27))+(B28))+(B29))+(B30)</f>
        <v>0</v>
      </c>
    </row>
    <row r="32">
      <c r="A32" s="5" t="s">
        <v>129</v>
      </c>
      <c r="B32" s="8">
        <f>((B19)+(B22))+(B31)</f>
        <v>1056780.54</v>
      </c>
    </row>
    <row r="33">
      <c r="A33" s="5" t="s">
        <v>130</v>
      </c>
      <c r="B33" s="6"/>
    </row>
    <row r="34">
      <c r="A34" s="5" t="s">
        <v>131</v>
      </c>
      <c r="B34" s="7">
        <f>162750</f>
        <v>162750</v>
      </c>
    </row>
    <row r="35">
      <c r="A35" s="5" t="s">
        <v>132</v>
      </c>
      <c r="B35" s="7">
        <f>475000</f>
        <v>475000</v>
      </c>
    </row>
    <row r="36">
      <c r="A36" s="5" t="s">
        <v>133</v>
      </c>
      <c r="B36" s="7">
        <f>110000</f>
        <v>110000</v>
      </c>
    </row>
    <row r="37">
      <c r="A37" s="5" t="s">
        <v>134</v>
      </c>
      <c r="B37" s="8">
        <f>((B34)+(B35))+(B36)</f>
        <v>747750</v>
      </c>
    </row>
    <row r="38">
      <c r="A38" s="5" t="s">
        <v>135</v>
      </c>
      <c r="B38" s="6"/>
    </row>
    <row r="39">
      <c r="A39" s="5" t="s">
        <v>136</v>
      </c>
      <c r="B39" s="7">
        <f>0</f>
        <v>0</v>
      </c>
    </row>
    <row r="40">
      <c r="A40" s="5" t="s">
        <v>137</v>
      </c>
      <c r="B40" s="8">
        <f>B39</f>
        <v>0</v>
      </c>
    </row>
    <row r="41">
      <c r="A41" s="5" t="s">
        <v>138</v>
      </c>
      <c r="B41" s="8">
        <f>((B32)+(B37))+(B40)</f>
        <v>1804530.54</v>
      </c>
    </row>
    <row r="42">
      <c r="A42" s="5" t="s">
        <v>139</v>
      </c>
      <c r="B42" s="6"/>
    </row>
    <row r="43">
      <c r="A43" s="5" t="s">
        <v>140</v>
      </c>
      <c r="B43" s="6"/>
    </row>
    <row r="44">
      <c r="A44" s="5" t="s">
        <v>141</v>
      </c>
      <c r="B44" s="6"/>
    </row>
    <row r="45">
      <c r="A45" s="5" t="s">
        <v>142</v>
      </c>
      <c r="B45" s="6"/>
    </row>
    <row r="46">
      <c r="A46" s="5" t="s">
        <v>143</v>
      </c>
      <c r="B46" s="7">
        <f>3054.83</f>
        <v>3054.83</v>
      </c>
    </row>
    <row r="47">
      <c r="A47" s="5" t="s">
        <v>144</v>
      </c>
      <c r="B47" s="8">
        <f>B46</f>
        <v>3054.83</v>
      </c>
    </row>
    <row r="48">
      <c r="A48" s="5" t="s">
        <v>145</v>
      </c>
      <c r="B48" s="6"/>
    </row>
    <row r="49">
      <c r="A49" s="5" t="s">
        <v>146</v>
      </c>
      <c r="B49" s="7">
        <f>0</f>
        <v>0</v>
      </c>
    </row>
    <row r="50">
      <c r="A50" s="5" t="s">
        <v>147</v>
      </c>
      <c r="B50" s="7">
        <f>1061.45</f>
        <v>1061.45</v>
      </c>
    </row>
    <row r="51">
      <c r="A51" s="5" t="s">
        <v>148</v>
      </c>
      <c r="B51" s="8">
        <f>(B49)+(B50)</f>
        <v>1061.45</v>
      </c>
    </row>
    <row r="52">
      <c r="A52" s="5" t="s">
        <v>149</v>
      </c>
      <c r="B52" s="6"/>
    </row>
    <row r="53">
      <c r="A53" s="5" t="s">
        <v>150</v>
      </c>
      <c r="B53" s="7">
        <f t="shared" ref="B53:B55" si="2">0</f>
        <v>0</v>
      </c>
    </row>
    <row r="54">
      <c r="A54" s="5" t="s">
        <v>151</v>
      </c>
      <c r="B54" s="7">
        <f t="shared" si="2"/>
        <v>0</v>
      </c>
    </row>
    <row r="55">
      <c r="A55" s="5" t="s">
        <v>152</v>
      </c>
      <c r="B55" s="7">
        <f t="shared" si="2"/>
        <v>0</v>
      </c>
    </row>
    <row r="56">
      <c r="A56" s="5" t="s">
        <v>153</v>
      </c>
      <c r="B56" s="8">
        <f>((B53)+(B54))+(B55)</f>
        <v>0</v>
      </c>
    </row>
    <row r="57">
      <c r="A57" s="5" t="s">
        <v>154</v>
      </c>
      <c r="B57" s="8">
        <f>((B47)+(B51))+(B56)</f>
        <v>4116.28</v>
      </c>
    </row>
    <row r="58">
      <c r="A58" s="5" t="s">
        <v>155</v>
      </c>
      <c r="B58" s="8">
        <f>B57</f>
        <v>4116.28</v>
      </c>
    </row>
    <row r="59">
      <c r="A59" s="5" t="s">
        <v>156</v>
      </c>
      <c r="B59" s="6"/>
    </row>
    <row r="60">
      <c r="A60" s="5" t="s">
        <v>157</v>
      </c>
      <c r="B60" s="7">
        <f>0</f>
        <v>0</v>
      </c>
    </row>
    <row r="61">
      <c r="A61" s="5" t="s">
        <v>158</v>
      </c>
      <c r="B61" s="7">
        <f>1733965.37</f>
        <v>1733965.37</v>
      </c>
    </row>
    <row r="62">
      <c r="A62" s="5" t="s">
        <v>159</v>
      </c>
      <c r="B62" s="7">
        <f>66448.89</f>
        <v>66448.89</v>
      </c>
    </row>
    <row r="63">
      <c r="A63" s="5" t="s">
        <v>160</v>
      </c>
      <c r="B63" s="8">
        <f>((B60)+(B61))+(B62)</f>
        <v>1800414.26</v>
      </c>
    </row>
    <row r="64">
      <c r="A64" s="5" t="s">
        <v>161</v>
      </c>
      <c r="B64" s="8">
        <f>(B58)+(B63)</f>
        <v>1804530.54</v>
      </c>
    </row>
    <row r="65">
      <c r="A65" s="5"/>
      <c r="B65" s="6"/>
    </row>
    <row r="66"/>
    <row r="67"/>
    <row r="68">
      <c r="A68" s="9" t="s">
        <v>162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35.29"/>
    <col customWidth="1" min="2" max="4" width="27.43"/>
    <col customWidth="1" min="5" max="26" width="8.71"/>
  </cols>
  <sheetData>
    <row r="1">
      <c r="A1" s="1" t="s">
        <v>0</v>
      </c>
    </row>
    <row r="2">
      <c r="A2" s="1" t="s">
        <v>1</v>
      </c>
    </row>
    <row r="3">
      <c r="A3" s="2" t="s">
        <v>100</v>
      </c>
    </row>
    <row r="5">
      <c r="A5" s="3"/>
      <c r="B5" s="4" t="s">
        <v>98</v>
      </c>
      <c r="C5" s="4" t="s">
        <v>163</v>
      </c>
      <c r="D5" s="4" t="s">
        <v>91</v>
      </c>
    </row>
    <row r="6">
      <c r="A6" s="5" t="s">
        <v>6</v>
      </c>
      <c r="B6" s="6"/>
      <c r="C6" s="6"/>
      <c r="D6" s="6"/>
    </row>
    <row r="7">
      <c r="A7" s="5" t="s">
        <v>7</v>
      </c>
      <c r="B7" s="6"/>
      <c r="C7" s="6"/>
      <c r="D7" s="7">
        <f t="shared" ref="D7:D24" si="1">(B7)+(C7)</f>
        <v>0</v>
      </c>
    </row>
    <row r="8">
      <c r="A8" s="5" t="s">
        <v>8</v>
      </c>
      <c r="B8" s="7">
        <f t="shared" ref="B8:B9" si="2">2577.08</f>
        <v>2577.08</v>
      </c>
      <c r="C8" s="6"/>
      <c r="D8" s="7">
        <f t="shared" si="1"/>
        <v>2577.08</v>
      </c>
    </row>
    <row r="9">
      <c r="A9" s="5" t="s">
        <v>9</v>
      </c>
      <c r="B9" s="7">
        <f t="shared" si="2"/>
        <v>2577.08</v>
      </c>
      <c r="C9" s="6"/>
      <c r="D9" s="7">
        <f t="shared" si="1"/>
        <v>2577.08</v>
      </c>
    </row>
    <row r="10">
      <c r="A10" s="5" t="s">
        <v>10</v>
      </c>
      <c r="B10" s="7">
        <f>33266.72</f>
        <v>33266.72</v>
      </c>
      <c r="C10" s="6"/>
      <c r="D10" s="7">
        <f t="shared" si="1"/>
        <v>33266.72</v>
      </c>
    </row>
    <row r="11">
      <c r="A11" s="5" t="s">
        <v>11</v>
      </c>
      <c r="B11" s="7">
        <f>2586.08</f>
        <v>2586.08</v>
      </c>
      <c r="C11" s="6"/>
      <c r="D11" s="7">
        <f t="shared" si="1"/>
        <v>2586.08</v>
      </c>
    </row>
    <row r="12">
      <c r="A12" s="5" t="s">
        <v>12</v>
      </c>
      <c r="B12" s="7">
        <f>2573.85</f>
        <v>2573.85</v>
      </c>
      <c r="C12" s="6"/>
      <c r="D12" s="7">
        <f t="shared" si="1"/>
        <v>2573.85</v>
      </c>
    </row>
    <row r="13">
      <c r="A13" s="5" t="s">
        <v>13</v>
      </c>
      <c r="B13" s="7">
        <f>2576.08</f>
        <v>2576.08</v>
      </c>
      <c r="C13" s="6"/>
      <c r="D13" s="7">
        <f t="shared" si="1"/>
        <v>2576.08</v>
      </c>
    </row>
    <row r="14">
      <c r="A14" s="5" t="s">
        <v>14</v>
      </c>
      <c r="B14" s="7">
        <f>15000</f>
        <v>15000</v>
      </c>
      <c r="C14" s="6"/>
      <c r="D14" s="7">
        <f t="shared" si="1"/>
        <v>15000</v>
      </c>
    </row>
    <row r="15">
      <c r="A15" s="5" t="s">
        <v>15</v>
      </c>
      <c r="B15" s="7">
        <f>8157.31</f>
        <v>8157.31</v>
      </c>
      <c r="C15" s="6"/>
      <c r="D15" s="7">
        <f t="shared" si="1"/>
        <v>8157.31</v>
      </c>
    </row>
    <row r="16">
      <c r="A16" s="5" t="s">
        <v>16</v>
      </c>
      <c r="B16" s="7">
        <f t="shared" ref="B16:B17" si="3">9738.23</f>
        <v>9738.23</v>
      </c>
      <c r="C16" s="6"/>
      <c r="D16" s="7">
        <f t="shared" si="1"/>
        <v>9738.23</v>
      </c>
    </row>
    <row r="17">
      <c r="A17" s="5" t="s">
        <v>17</v>
      </c>
      <c r="B17" s="7">
        <f t="shared" si="3"/>
        <v>9738.23</v>
      </c>
      <c r="C17" s="6"/>
      <c r="D17" s="7">
        <f t="shared" si="1"/>
        <v>9738.23</v>
      </c>
    </row>
    <row r="18">
      <c r="A18" s="5" t="s">
        <v>18</v>
      </c>
      <c r="B18" s="7">
        <f>18839.93</f>
        <v>18839.93</v>
      </c>
      <c r="C18" s="6"/>
      <c r="D18" s="7">
        <f t="shared" si="1"/>
        <v>18839.93</v>
      </c>
    </row>
    <row r="19">
      <c r="A19" s="5" t="s">
        <v>19</v>
      </c>
      <c r="B19" s="7">
        <f>4876.41</f>
        <v>4876.41</v>
      </c>
      <c r="C19" s="6"/>
      <c r="D19" s="7">
        <f t="shared" si="1"/>
        <v>4876.41</v>
      </c>
    </row>
    <row r="20">
      <c r="A20" s="5" t="s">
        <v>20</v>
      </c>
      <c r="B20" s="7">
        <f>4874.4</f>
        <v>4874.4</v>
      </c>
      <c r="C20" s="6"/>
      <c r="D20" s="7">
        <f t="shared" si="1"/>
        <v>4874.4</v>
      </c>
    </row>
    <row r="21">
      <c r="A21" s="5" t="s">
        <v>21</v>
      </c>
      <c r="B21" s="7">
        <f>2577.08</f>
        <v>2577.08</v>
      </c>
      <c r="C21" s="6"/>
      <c r="D21" s="7">
        <f t="shared" si="1"/>
        <v>2577.08</v>
      </c>
    </row>
    <row r="22">
      <c r="A22" s="5" t="s">
        <v>22</v>
      </c>
      <c r="B22" s="8">
        <f t="shared" ref="B22:C22" si="4">((((((((((((((B7)+(B8))+(B9))+(B10))+(B11))+(B12))+(B13))+(B14))+(B15))+(B16))+(B17))+(B18))+(B19))+(B20))+(B21)</f>
        <v>119958.48</v>
      </c>
      <c r="C22" s="8">
        <f t="shared" si="4"/>
        <v>0</v>
      </c>
      <c r="D22" s="8">
        <f t="shared" si="1"/>
        <v>119958.48</v>
      </c>
    </row>
    <row r="23">
      <c r="A23" s="5" t="s">
        <v>23</v>
      </c>
      <c r="B23" s="8">
        <f t="shared" ref="B23:C23" si="5">B22</f>
        <v>119958.48</v>
      </c>
      <c r="C23" s="8">
        <f t="shared" si="5"/>
        <v>0</v>
      </c>
      <c r="D23" s="8">
        <f t="shared" si="1"/>
        <v>119958.48</v>
      </c>
    </row>
    <row r="24">
      <c r="A24" s="5" t="s">
        <v>24</v>
      </c>
      <c r="B24" s="8">
        <f t="shared" ref="B24:C24" si="6">(B23)-(0)</f>
        <v>119958.48</v>
      </c>
      <c r="C24" s="8">
        <f t="shared" si="6"/>
        <v>0</v>
      </c>
      <c r="D24" s="8">
        <f t="shared" si="1"/>
        <v>119958.48</v>
      </c>
    </row>
    <row r="25">
      <c r="A25" s="5" t="s">
        <v>25</v>
      </c>
      <c r="B25" s="6"/>
      <c r="C25" s="6"/>
      <c r="D25" s="6"/>
    </row>
    <row r="26">
      <c r="A26" s="5" t="s">
        <v>26</v>
      </c>
      <c r="B26" s="6"/>
      <c r="C26" s="6"/>
      <c r="D26" s="7">
        <f t="shared" ref="D26:D36" si="7">(B26)+(C26)</f>
        <v>0</v>
      </c>
    </row>
    <row r="27">
      <c r="A27" s="5" t="s">
        <v>32</v>
      </c>
      <c r="B27" s="6"/>
      <c r="C27" s="7">
        <f>389.4</f>
        <v>389.4</v>
      </c>
      <c r="D27" s="7">
        <f t="shared" si="7"/>
        <v>389.4</v>
      </c>
    </row>
    <row r="28">
      <c r="A28" s="5" t="s">
        <v>33</v>
      </c>
      <c r="B28" s="6"/>
      <c r="C28" s="7">
        <f>46.13</f>
        <v>46.13</v>
      </c>
      <c r="D28" s="7">
        <f t="shared" si="7"/>
        <v>46.13</v>
      </c>
    </row>
    <row r="29">
      <c r="A29" s="5" t="s">
        <v>37</v>
      </c>
      <c r="B29" s="6"/>
      <c r="C29" s="6"/>
      <c r="D29" s="7">
        <f t="shared" si="7"/>
        <v>0</v>
      </c>
    </row>
    <row r="30">
      <c r="A30" s="5" t="s">
        <v>38</v>
      </c>
      <c r="B30" s="6"/>
      <c r="C30" s="7">
        <f>680.75</f>
        <v>680.75</v>
      </c>
      <c r="D30" s="7">
        <f t="shared" si="7"/>
        <v>680.75</v>
      </c>
    </row>
    <row r="31">
      <c r="A31" s="5" t="s">
        <v>39</v>
      </c>
      <c r="B31" s="8">
        <f t="shared" ref="B31:C31" si="8">(B29)+(B30)</f>
        <v>0</v>
      </c>
      <c r="C31" s="8">
        <f t="shared" si="8"/>
        <v>680.75</v>
      </c>
      <c r="D31" s="8">
        <f t="shared" si="7"/>
        <v>680.75</v>
      </c>
    </row>
    <row r="32">
      <c r="A32" s="5" t="s">
        <v>40</v>
      </c>
      <c r="B32" s="6"/>
      <c r="C32" s="7">
        <f>85</f>
        <v>85</v>
      </c>
      <c r="D32" s="7">
        <f t="shared" si="7"/>
        <v>85</v>
      </c>
    </row>
    <row r="33">
      <c r="A33" s="5" t="s">
        <v>41</v>
      </c>
      <c r="B33" s="8">
        <f t="shared" ref="B33:C33" si="9">((((B26)+(B27))+(B28))+(B31))+(B32)</f>
        <v>0</v>
      </c>
      <c r="C33" s="8">
        <f t="shared" si="9"/>
        <v>1201.28</v>
      </c>
      <c r="D33" s="8">
        <f t="shared" si="7"/>
        <v>1201.28</v>
      </c>
    </row>
    <row r="34">
      <c r="A34" s="5" t="s">
        <v>77</v>
      </c>
      <c r="B34" s="8">
        <f t="shared" ref="B34:C34" si="10">B33</f>
        <v>0</v>
      </c>
      <c r="C34" s="8">
        <f t="shared" si="10"/>
        <v>1201.28</v>
      </c>
      <c r="D34" s="8">
        <f t="shared" si="7"/>
        <v>1201.28</v>
      </c>
    </row>
    <row r="35">
      <c r="A35" s="5" t="s">
        <v>78</v>
      </c>
      <c r="B35" s="8">
        <f t="shared" ref="B35:C35" si="11">(B24)-(B34)</f>
        <v>119958.48</v>
      </c>
      <c r="C35" s="8">
        <f t="shared" si="11"/>
        <v>-1201.28</v>
      </c>
      <c r="D35" s="8">
        <f t="shared" si="7"/>
        <v>118757.2</v>
      </c>
    </row>
    <row r="36">
      <c r="A36" s="5" t="s">
        <v>79</v>
      </c>
      <c r="B36" s="8">
        <f t="shared" ref="B36:C36" si="12">(B35)+(0)</f>
        <v>119958.48</v>
      </c>
      <c r="C36" s="8">
        <f t="shared" si="12"/>
        <v>-1201.28</v>
      </c>
      <c r="D36" s="8">
        <f t="shared" si="7"/>
        <v>118757.2</v>
      </c>
    </row>
    <row r="37">
      <c r="A37" s="5"/>
      <c r="B37" s="6"/>
      <c r="C37" s="6"/>
      <c r="D37" s="6"/>
    </row>
    <row r="38"/>
    <row r="39"/>
    <row r="40">
      <c r="A40" s="9" t="s">
        <v>164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D1"/>
    <mergeCell ref="A2:D2"/>
    <mergeCell ref="A3:D3"/>
    <mergeCell ref="A40:D40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2" width="54.14"/>
    <col customWidth="1" min="3" max="26" width="8.71"/>
  </cols>
  <sheetData>
    <row r="1">
      <c r="A1" s="1" t="s">
        <v>0</v>
      </c>
    </row>
    <row r="2">
      <c r="A2" s="1" t="s">
        <v>1</v>
      </c>
    </row>
    <row r="3">
      <c r="A3" s="2" t="s">
        <v>165</v>
      </c>
    </row>
    <row r="5">
      <c r="A5" s="3"/>
      <c r="B5" s="4" t="s">
        <v>5</v>
      </c>
    </row>
    <row r="6">
      <c r="A6" s="5" t="s">
        <v>6</v>
      </c>
      <c r="B6" s="6"/>
    </row>
    <row r="7">
      <c r="A7" s="5" t="s">
        <v>23</v>
      </c>
      <c r="B7" s="6"/>
    </row>
    <row r="8">
      <c r="A8" s="5" t="s">
        <v>24</v>
      </c>
      <c r="B8" s="8">
        <f>(B7)-(0)</f>
        <v>0</v>
      </c>
    </row>
    <row r="9">
      <c r="A9" s="5" t="s">
        <v>25</v>
      </c>
      <c r="B9" s="6"/>
    </row>
    <row r="10">
      <c r="A10" s="5" t="s">
        <v>26</v>
      </c>
      <c r="B10" s="6"/>
    </row>
    <row r="11">
      <c r="A11" s="5" t="s">
        <v>27</v>
      </c>
      <c r="B11" s="6"/>
    </row>
    <row r="12">
      <c r="A12" s="5" t="s">
        <v>28</v>
      </c>
      <c r="B12" s="7">
        <f>3000</f>
        <v>3000</v>
      </c>
    </row>
    <row r="13">
      <c r="A13" s="5" t="s">
        <v>29</v>
      </c>
      <c r="B13" s="7">
        <f>12</f>
        <v>12</v>
      </c>
    </row>
    <row r="14">
      <c r="A14" s="5" t="s">
        <v>30</v>
      </c>
      <c r="B14" s="8">
        <f>((B11)+(B12))+(B13)</f>
        <v>3012</v>
      </c>
    </row>
    <row r="15">
      <c r="A15" s="5" t="s">
        <v>31</v>
      </c>
      <c r="B15" s="7">
        <f>165</f>
        <v>165</v>
      </c>
    </row>
    <row r="16">
      <c r="A16" s="5" t="s">
        <v>32</v>
      </c>
      <c r="B16" s="7">
        <f>50</f>
        <v>50</v>
      </c>
    </row>
    <row r="17">
      <c r="A17" s="5" t="s">
        <v>33</v>
      </c>
      <c r="B17" s="7">
        <f>1381.85</f>
        <v>1381.85</v>
      </c>
    </row>
    <row r="18">
      <c r="A18" s="5" t="s">
        <v>34</v>
      </c>
      <c r="B18" s="7">
        <f>99</f>
        <v>99</v>
      </c>
    </row>
    <row r="19">
      <c r="A19" s="5" t="s">
        <v>35</v>
      </c>
      <c r="B19" s="7">
        <f>200</f>
        <v>200</v>
      </c>
    </row>
    <row r="20">
      <c r="A20" s="5" t="s">
        <v>36</v>
      </c>
      <c r="B20" s="7">
        <f>48</f>
        <v>48</v>
      </c>
    </row>
    <row r="21">
      <c r="A21" s="5" t="s">
        <v>40</v>
      </c>
      <c r="B21" s="7">
        <f>85</f>
        <v>85</v>
      </c>
    </row>
    <row r="22">
      <c r="A22" s="5" t="s">
        <v>41</v>
      </c>
      <c r="B22" s="8">
        <f>((((((((B10)+(B14))+(B15))+(B16))+(B17))+(B18))+(B19))+(B20))+(B21)</f>
        <v>5040.85</v>
      </c>
    </row>
    <row r="23">
      <c r="A23" s="5" t="s">
        <v>42</v>
      </c>
      <c r="B23" s="7">
        <f>188.73</f>
        <v>188.73</v>
      </c>
    </row>
    <row r="24">
      <c r="A24" s="5" t="s">
        <v>43</v>
      </c>
      <c r="B24" s="6"/>
    </row>
    <row r="25">
      <c r="A25" s="5" t="s">
        <v>44</v>
      </c>
      <c r="B25" s="6"/>
    </row>
    <row r="26">
      <c r="A26" s="5" t="s">
        <v>45</v>
      </c>
      <c r="B26" s="6"/>
    </row>
    <row r="27">
      <c r="A27" s="5" t="s">
        <v>46</v>
      </c>
      <c r="B27" s="7">
        <f>592.85</f>
        <v>592.85</v>
      </c>
    </row>
    <row r="28">
      <c r="A28" s="5" t="s">
        <v>47</v>
      </c>
      <c r="B28" s="7">
        <f>629.98</f>
        <v>629.98</v>
      </c>
    </row>
    <row r="29">
      <c r="A29" s="5" t="s">
        <v>48</v>
      </c>
      <c r="B29" s="7">
        <f>3379.44</f>
        <v>3379.44</v>
      </c>
    </row>
    <row r="30">
      <c r="A30" s="5" t="s">
        <v>49</v>
      </c>
      <c r="B30" s="7">
        <f>510.07</f>
        <v>510.07</v>
      </c>
    </row>
    <row r="31">
      <c r="A31" s="5" t="s">
        <v>50</v>
      </c>
      <c r="B31" s="7">
        <f>332.9</f>
        <v>332.9</v>
      </c>
    </row>
    <row r="32">
      <c r="A32" s="5" t="s">
        <v>51</v>
      </c>
      <c r="B32" s="7">
        <f>3612.66</f>
        <v>3612.66</v>
      </c>
    </row>
    <row r="33">
      <c r="A33" s="5" t="s">
        <v>52</v>
      </c>
      <c r="B33" s="7">
        <f>407.15</f>
        <v>407.15</v>
      </c>
    </row>
    <row r="34">
      <c r="A34" s="5" t="s">
        <v>53</v>
      </c>
      <c r="B34" s="7">
        <f>2721.09</f>
        <v>2721.09</v>
      </c>
    </row>
    <row r="35">
      <c r="A35" s="5" t="s">
        <v>54</v>
      </c>
      <c r="B35" s="7">
        <f>1252.53</f>
        <v>1252.53</v>
      </c>
    </row>
    <row r="36">
      <c r="A36" s="5" t="s">
        <v>55</v>
      </c>
      <c r="B36" s="7">
        <f>1931.61</f>
        <v>1931.61</v>
      </c>
    </row>
    <row r="37">
      <c r="A37" s="5" t="s">
        <v>56</v>
      </c>
      <c r="B37" s="7">
        <f>2004.69</f>
        <v>2004.69</v>
      </c>
    </row>
    <row r="38">
      <c r="A38" s="5" t="s">
        <v>57</v>
      </c>
      <c r="B38" s="7">
        <f>614.3</f>
        <v>614.3</v>
      </c>
    </row>
    <row r="39">
      <c r="A39" s="5" t="s">
        <v>58</v>
      </c>
      <c r="B39" s="7">
        <f>1394.82</f>
        <v>1394.82</v>
      </c>
    </row>
    <row r="40">
      <c r="A40" s="5" t="s">
        <v>59</v>
      </c>
      <c r="B40" s="7">
        <f>15342.23</f>
        <v>15342.23</v>
      </c>
    </row>
    <row r="41">
      <c r="A41" s="5" t="s">
        <v>60</v>
      </c>
      <c r="B41" s="7">
        <f>234.81</f>
        <v>234.81</v>
      </c>
    </row>
    <row r="42">
      <c r="A42" s="5" t="s">
        <v>61</v>
      </c>
      <c r="B42" s="8">
        <f>(((((((((((((((B26)+(B27))+(B28))+(B29))+(B30))+(B31))+(B32))+(B33))+(B34))+(B35))+(B36))+(B37))+(B38))+(B39))+(B40))+(B41)</f>
        <v>34961.13</v>
      </c>
    </row>
    <row r="43">
      <c r="A43" s="5" t="s">
        <v>62</v>
      </c>
      <c r="B43" s="8">
        <f>(B25)+(B42)</f>
        <v>34961.13</v>
      </c>
    </row>
    <row r="44">
      <c r="A44" s="5" t="s">
        <v>63</v>
      </c>
      <c r="B44" s="6"/>
    </row>
    <row r="45">
      <c r="A45" s="5" t="s">
        <v>64</v>
      </c>
      <c r="B45" s="6"/>
    </row>
    <row r="46">
      <c r="A46" s="5" t="s">
        <v>65</v>
      </c>
      <c r="B46" s="7">
        <f>6578.36</f>
        <v>6578.36</v>
      </c>
    </row>
    <row r="47">
      <c r="A47" s="5" t="s">
        <v>66</v>
      </c>
      <c r="B47" s="6"/>
    </row>
    <row r="48">
      <c r="A48" s="5" t="s">
        <v>67</v>
      </c>
      <c r="B48" s="7">
        <f>497.45</f>
        <v>497.45</v>
      </c>
    </row>
    <row r="49">
      <c r="A49" s="5" t="s">
        <v>68</v>
      </c>
      <c r="B49" s="7">
        <f>74.52</f>
        <v>74.52</v>
      </c>
    </row>
    <row r="50">
      <c r="A50" s="5" t="s">
        <v>69</v>
      </c>
      <c r="B50" s="8">
        <f>((B47)+(B48))+(B49)</f>
        <v>571.97</v>
      </c>
    </row>
    <row r="51">
      <c r="A51" s="5" t="s">
        <v>70</v>
      </c>
      <c r="B51" s="7">
        <f>55</f>
        <v>55</v>
      </c>
    </row>
    <row r="52">
      <c r="A52" s="5" t="s">
        <v>71</v>
      </c>
      <c r="B52" s="7">
        <f>4378.09</f>
        <v>4378.09</v>
      </c>
    </row>
    <row r="53">
      <c r="A53" s="5" t="s">
        <v>72</v>
      </c>
      <c r="B53" s="7">
        <f>506.25</f>
        <v>506.25</v>
      </c>
    </row>
    <row r="54">
      <c r="A54" s="5" t="s">
        <v>73</v>
      </c>
      <c r="B54" s="8">
        <f>(((((B45)+(B46))+(B50))+(B51))+(B52))+(B53)</f>
        <v>12089.67</v>
      </c>
    </row>
    <row r="55">
      <c r="A55" s="5" t="s">
        <v>74</v>
      </c>
      <c r="B55" s="7">
        <f>27.93</f>
        <v>27.93</v>
      </c>
    </row>
    <row r="56">
      <c r="A56" s="5" t="s">
        <v>75</v>
      </c>
      <c r="B56" s="8">
        <f>((B44)+(B54))+(B55)</f>
        <v>12117.6</v>
      </c>
    </row>
    <row r="57">
      <c r="A57" s="5" t="s">
        <v>76</v>
      </c>
      <c r="B57" s="8">
        <f>((B24)+(B43))+(B56)</f>
        <v>47078.73</v>
      </c>
    </row>
    <row r="58">
      <c r="A58" s="5" t="s">
        <v>77</v>
      </c>
      <c r="B58" s="8">
        <f>((B22)+(B23))+(B57)</f>
        <v>52308.31</v>
      </c>
    </row>
    <row r="59">
      <c r="A59" s="5" t="s">
        <v>78</v>
      </c>
      <c r="B59" s="8">
        <f>(B8)-(B58)</f>
        <v>-52308.31</v>
      </c>
    </row>
    <row r="60">
      <c r="A60" s="5" t="s">
        <v>79</v>
      </c>
      <c r="B60" s="8">
        <f>(B59)+(0)</f>
        <v>-52308.31</v>
      </c>
    </row>
    <row r="61">
      <c r="A61" s="5"/>
      <c r="B61" s="6"/>
    </row>
    <row r="62"/>
    <row r="63"/>
    <row r="64">
      <c r="A64" s="9" t="s">
        <v>166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4:B64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61.86"/>
    <col customWidth="1" min="2" max="2" width="54.14"/>
    <col customWidth="1" min="3" max="26" width="8.71"/>
  </cols>
  <sheetData>
    <row r="1">
      <c r="A1" s="1" t="s">
        <v>0</v>
      </c>
    </row>
    <row r="2">
      <c r="A2" s="1" t="s">
        <v>102</v>
      </c>
    </row>
    <row r="3">
      <c r="A3" s="2" t="s">
        <v>167</v>
      </c>
    </row>
    <row r="5">
      <c r="A5" s="3"/>
      <c r="B5" s="4" t="s">
        <v>5</v>
      </c>
    </row>
    <row r="6">
      <c r="A6" s="5" t="s">
        <v>103</v>
      </c>
      <c r="B6" s="6"/>
    </row>
    <row r="7">
      <c r="A7" s="5" t="s">
        <v>104</v>
      </c>
      <c r="B7" s="6"/>
    </row>
    <row r="8">
      <c r="A8" s="5" t="s">
        <v>105</v>
      </c>
      <c r="B8" s="6"/>
    </row>
    <row r="9">
      <c r="A9" s="5" t="s">
        <v>106</v>
      </c>
      <c r="B9" s="6"/>
    </row>
    <row r="10">
      <c r="A10" s="5" t="s">
        <v>107</v>
      </c>
      <c r="B10" s="7">
        <f>165000</f>
        <v>165000</v>
      </c>
    </row>
    <row r="11">
      <c r="A11" s="5" t="s">
        <v>108</v>
      </c>
      <c r="B11" s="7">
        <f>125000</f>
        <v>125000</v>
      </c>
    </row>
    <row r="12">
      <c r="A12" s="5" t="s">
        <v>109</v>
      </c>
      <c r="B12" s="7">
        <f>64094.49</f>
        <v>64094.49</v>
      </c>
    </row>
    <row r="13">
      <c r="A13" s="5" t="s">
        <v>110</v>
      </c>
      <c r="B13" s="8">
        <f>(((B9)+(B10))+(B11))+(B12)</f>
        <v>354094.49</v>
      </c>
    </row>
    <row r="14">
      <c r="A14" s="5" t="s">
        <v>111</v>
      </c>
      <c r="B14" s="6"/>
    </row>
    <row r="15">
      <c r="A15" s="5" t="s">
        <v>112</v>
      </c>
      <c r="B15" s="7">
        <f>291828.7</f>
        <v>291828.7</v>
      </c>
    </row>
    <row r="16">
      <c r="A16" s="5" t="s">
        <v>113</v>
      </c>
      <c r="B16" s="7">
        <f>177635.66</f>
        <v>177635.66</v>
      </c>
    </row>
    <row r="17">
      <c r="A17" s="5" t="s">
        <v>114</v>
      </c>
      <c r="B17" s="7">
        <f>98244.87</f>
        <v>98244.87</v>
      </c>
    </row>
    <row r="18">
      <c r="A18" s="5" t="s">
        <v>115</v>
      </c>
      <c r="B18" s="8">
        <f>(((B14)+(B15))+(B16))+(B17)</f>
        <v>567709.23</v>
      </c>
    </row>
    <row r="19">
      <c r="A19" s="5" t="s">
        <v>116</v>
      </c>
      <c r="B19" s="8">
        <f>(B13)+(B18)</f>
        <v>921803.72</v>
      </c>
    </row>
    <row r="20">
      <c r="A20" s="5" t="s">
        <v>117</v>
      </c>
      <c r="B20" s="6"/>
    </row>
    <row r="21">
      <c r="A21" s="5" t="s">
        <v>118</v>
      </c>
      <c r="B21" s="7">
        <f>70143.7</f>
        <v>70143.7</v>
      </c>
    </row>
    <row r="22">
      <c r="A22" s="5" t="s">
        <v>119</v>
      </c>
      <c r="B22" s="8">
        <f>B21</f>
        <v>70143.7</v>
      </c>
    </row>
    <row r="23">
      <c r="A23" s="5" t="s">
        <v>120</v>
      </c>
      <c r="B23" s="6"/>
    </row>
    <row r="24">
      <c r="A24" s="5" t="s">
        <v>121</v>
      </c>
      <c r="B24" s="7">
        <f t="shared" ref="B24:B30" si="1">0</f>
        <v>0</v>
      </c>
    </row>
    <row r="25">
      <c r="A25" s="5" t="s">
        <v>122</v>
      </c>
      <c r="B25" s="7">
        <f t="shared" si="1"/>
        <v>0</v>
      </c>
    </row>
    <row r="26">
      <c r="A26" s="5" t="s">
        <v>123</v>
      </c>
      <c r="B26" s="7">
        <f t="shared" si="1"/>
        <v>0</v>
      </c>
    </row>
    <row r="27">
      <c r="A27" s="5" t="s">
        <v>124</v>
      </c>
      <c r="B27" s="7">
        <f t="shared" si="1"/>
        <v>0</v>
      </c>
    </row>
    <row r="28">
      <c r="A28" s="5" t="s">
        <v>125</v>
      </c>
      <c r="B28" s="7">
        <f t="shared" si="1"/>
        <v>0</v>
      </c>
    </row>
    <row r="29">
      <c r="A29" s="5" t="s">
        <v>126</v>
      </c>
      <c r="B29" s="7">
        <f t="shared" si="1"/>
        <v>0</v>
      </c>
    </row>
    <row r="30">
      <c r="A30" s="5" t="s">
        <v>127</v>
      </c>
      <c r="B30" s="7">
        <f t="shared" si="1"/>
        <v>0</v>
      </c>
    </row>
    <row r="31">
      <c r="A31" s="5" t="s">
        <v>128</v>
      </c>
      <c r="B31" s="8">
        <f>((((((B24)+(B25))+(B26))+(B27))+(B28))+(B29))+(B30)</f>
        <v>0</v>
      </c>
    </row>
    <row r="32">
      <c r="A32" s="5" t="s">
        <v>129</v>
      </c>
      <c r="B32" s="8">
        <f>((B19)+(B22))+(B31)</f>
        <v>991947.42</v>
      </c>
    </row>
    <row r="33">
      <c r="A33" s="5" t="s">
        <v>130</v>
      </c>
      <c r="B33" s="6"/>
    </row>
    <row r="34">
      <c r="A34" s="5" t="s">
        <v>131</v>
      </c>
      <c r="B34" s="7">
        <f>162750</f>
        <v>162750</v>
      </c>
    </row>
    <row r="35">
      <c r="A35" s="5" t="s">
        <v>132</v>
      </c>
      <c r="B35" s="7">
        <f>475000</f>
        <v>475000</v>
      </c>
    </row>
    <row r="36">
      <c r="A36" s="5" t="s">
        <v>133</v>
      </c>
      <c r="B36" s="7">
        <f>110000</f>
        <v>110000</v>
      </c>
    </row>
    <row r="37">
      <c r="A37" s="5" t="s">
        <v>134</v>
      </c>
      <c r="B37" s="8">
        <f>((B34)+(B35))+(B36)</f>
        <v>747750</v>
      </c>
    </row>
    <row r="38">
      <c r="A38" s="5" t="s">
        <v>135</v>
      </c>
      <c r="B38" s="6"/>
    </row>
    <row r="39">
      <c r="A39" s="5" t="s">
        <v>136</v>
      </c>
      <c r="B39" s="7">
        <f>0</f>
        <v>0</v>
      </c>
    </row>
    <row r="40">
      <c r="A40" s="5" t="s">
        <v>137</v>
      </c>
      <c r="B40" s="8">
        <f>B39</f>
        <v>0</v>
      </c>
    </row>
    <row r="41">
      <c r="A41" s="5" t="s">
        <v>138</v>
      </c>
      <c r="B41" s="8">
        <f>((B32)+(B37))+(B40)</f>
        <v>1739697.42</v>
      </c>
    </row>
    <row r="42">
      <c r="A42" s="5" t="s">
        <v>139</v>
      </c>
      <c r="B42" s="6"/>
    </row>
    <row r="43">
      <c r="A43" s="5" t="s">
        <v>140</v>
      </c>
      <c r="B43" s="6"/>
    </row>
    <row r="44">
      <c r="A44" s="5" t="s">
        <v>141</v>
      </c>
      <c r="B44" s="6"/>
    </row>
    <row r="45">
      <c r="A45" s="5" t="s">
        <v>142</v>
      </c>
      <c r="B45" s="6"/>
    </row>
    <row r="46">
      <c r="A46" s="5" t="s">
        <v>143</v>
      </c>
      <c r="B46" s="7">
        <f>42922.76</f>
        <v>42922.76</v>
      </c>
    </row>
    <row r="47">
      <c r="A47" s="5" t="s">
        <v>144</v>
      </c>
      <c r="B47" s="8">
        <f>B46</f>
        <v>42922.76</v>
      </c>
    </row>
    <row r="48">
      <c r="A48" s="5" t="s">
        <v>145</v>
      </c>
      <c r="B48" s="6"/>
    </row>
    <row r="49">
      <c r="A49" s="5" t="s">
        <v>146</v>
      </c>
      <c r="B49" s="7">
        <f>0</f>
        <v>0</v>
      </c>
    </row>
    <row r="50">
      <c r="A50" s="5" t="s">
        <v>148</v>
      </c>
      <c r="B50" s="8">
        <f>B49</f>
        <v>0</v>
      </c>
    </row>
    <row r="51">
      <c r="A51" s="5" t="s">
        <v>149</v>
      </c>
      <c r="B51" s="6"/>
    </row>
    <row r="52">
      <c r="A52" s="5" t="s">
        <v>150</v>
      </c>
      <c r="B52" s="7">
        <f t="shared" ref="B52:B54" si="2">0</f>
        <v>0</v>
      </c>
    </row>
    <row r="53">
      <c r="A53" s="5" t="s">
        <v>151</v>
      </c>
      <c r="B53" s="7">
        <f t="shared" si="2"/>
        <v>0</v>
      </c>
    </row>
    <row r="54">
      <c r="A54" s="5" t="s">
        <v>152</v>
      </c>
      <c r="B54" s="7">
        <f t="shared" si="2"/>
        <v>0</v>
      </c>
    </row>
    <row r="55">
      <c r="A55" s="5" t="s">
        <v>153</v>
      </c>
      <c r="B55" s="8">
        <f>((B52)+(B53))+(B54)</f>
        <v>0</v>
      </c>
    </row>
    <row r="56">
      <c r="A56" s="5" t="s">
        <v>154</v>
      </c>
      <c r="B56" s="8">
        <f>((B47)+(B50))+(B55)</f>
        <v>42922.76</v>
      </c>
    </row>
    <row r="57">
      <c r="A57" s="5" t="s">
        <v>155</v>
      </c>
      <c r="B57" s="8">
        <f>B56</f>
        <v>42922.76</v>
      </c>
    </row>
    <row r="58">
      <c r="A58" s="5" t="s">
        <v>156</v>
      </c>
      <c r="B58" s="6"/>
    </row>
    <row r="59">
      <c r="A59" s="5" t="s">
        <v>157</v>
      </c>
      <c r="B59" s="7">
        <f>0</f>
        <v>0</v>
      </c>
    </row>
    <row r="60">
      <c r="A60" s="5" t="s">
        <v>158</v>
      </c>
      <c r="B60" s="7">
        <f>1733965.37</f>
        <v>1733965.37</v>
      </c>
    </row>
    <row r="61">
      <c r="A61" s="5" t="s">
        <v>159</v>
      </c>
      <c r="B61" s="7">
        <f>-37190.71</f>
        <v>-37190.71</v>
      </c>
    </row>
    <row r="62">
      <c r="A62" s="5" t="s">
        <v>160</v>
      </c>
      <c r="B62" s="8">
        <f>((B59)+(B60))+(B61)</f>
        <v>1696774.66</v>
      </c>
    </row>
    <row r="63">
      <c r="A63" s="5" t="s">
        <v>161</v>
      </c>
      <c r="B63" s="8">
        <f>(B57)+(B62)</f>
        <v>1739697.42</v>
      </c>
    </row>
    <row r="64">
      <c r="A64" s="5"/>
      <c r="B64" s="6"/>
    </row>
    <row r="65"/>
    <row r="66"/>
    <row r="67">
      <c r="A67" s="9" t="s">
        <v>168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39.57"/>
    <col customWidth="1" min="2" max="6" width="18.0"/>
    <col customWidth="1" min="7" max="26" width="8.71"/>
  </cols>
  <sheetData>
    <row r="1">
      <c r="A1" s="1" t="s">
        <v>0</v>
      </c>
    </row>
    <row r="2">
      <c r="A2" s="1" t="s">
        <v>1</v>
      </c>
    </row>
    <row r="3">
      <c r="A3" s="2" t="s">
        <v>165</v>
      </c>
    </row>
    <row r="5">
      <c r="A5" s="3"/>
      <c r="B5" s="4" t="s">
        <v>169</v>
      </c>
      <c r="C5" s="4" t="s">
        <v>170</v>
      </c>
      <c r="D5" s="4" t="s">
        <v>98</v>
      </c>
      <c r="E5" s="4" t="s">
        <v>163</v>
      </c>
      <c r="F5" s="4" t="s">
        <v>91</v>
      </c>
    </row>
    <row r="6">
      <c r="A6" s="5" t="s">
        <v>6</v>
      </c>
      <c r="B6" s="6"/>
      <c r="C6" s="6"/>
      <c r="D6" s="6"/>
      <c r="E6" s="6"/>
      <c r="F6" s="6"/>
    </row>
    <row r="7">
      <c r="A7" s="5" t="s">
        <v>23</v>
      </c>
      <c r="B7" s="6"/>
      <c r="C7" s="6"/>
      <c r="D7" s="6"/>
      <c r="E7" s="6"/>
      <c r="F7" s="8">
        <f t="shared" ref="F7:F8" si="2">(((B7)+(C7))+(D7))+(E7)</f>
        <v>0</v>
      </c>
    </row>
    <row r="8">
      <c r="A8" s="5" t="s">
        <v>24</v>
      </c>
      <c r="B8" s="8">
        <f t="shared" ref="B8:E8" si="1">(B7)-(0)</f>
        <v>0</v>
      </c>
      <c r="C8" s="8">
        <f t="shared" si="1"/>
        <v>0</v>
      </c>
      <c r="D8" s="8">
        <f t="shared" si="1"/>
        <v>0</v>
      </c>
      <c r="E8" s="8">
        <f t="shared" si="1"/>
        <v>0</v>
      </c>
      <c r="F8" s="8">
        <f t="shared" si="2"/>
        <v>0</v>
      </c>
    </row>
    <row r="9">
      <c r="A9" s="5" t="s">
        <v>25</v>
      </c>
      <c r="B9" s="6"/>
      <c r="C9" s="6"/>
      <c r="D9" s="6"/>
      <c r="E9" s="6"/>
      <c r="F9" s="6"/>
    </row>
    <row r="10">
      <c r="A10" s="5" t="s">
        <v>26</v>
      </c>
      <c r="B10" s="6"/>
      <c r="C10" s="6"/>
      <c r="D10" s="6"/>
      <c r="E10" s="6"/>
      <c r="F10" s="7">
        <f t="shared" ref="F10:F60" si="3">(((B10)+(C10))+(D10))+(E10)</f>
        <v>0</v>
      </c>
    </row>
    <row r="11">
      <c r="A11" s="5" t="s">
        <v>27</v>
      </c>
      <c r="B11" s="6"/>
      <c r="C11" s="6"/>
      <c r="D11" s="6"/>
      <c r="E11" s="6"/>
      <c r="F11" s="7">
        <f t="shared" si="3"/>
        <v>0</v>
      </c>
    </row>
    <row r="12">
      <c r="A12" s="5" t="s">
        <v>28</v>
      </c>
      <c r="B12" s="6"/>
      <c r="C12" s="6"/>
      <c r="D12" s="6"/>
      <c r="E12" s="7">
        <f>3000</f>
        <v>3000</v>
      </c>
      <c r="F12" s="7">
        <f t="shared" si="3"/>
        <v>3000</v>
      </c>
    </row>
    <row r="13">
      <c r="A13" s="5" t="s">
        <v>29</v>
      </c>
      <c r="B13" s="6"/>
      <c r="C13" s="6"/>
      <c r="D13" s="6"/>
      <c r="E13" s="7">
        <f>12</f>
        <v>12</v>
      </c>
      <c r="F13" s="7">
        <f t="shared" si="3"/>
        <v>12</v>
      </c>
    </row>
    <row r="14">
      <c r="A14" s="5" t="s">
        <v>30</v>
      </c>
      <c r="B14" s="8">
        <f t="shared" ref="B14:E14" si="4">((B11)+(B12))+(B13)</f>
        <v>0</v>
      </c>
      <c r="C14" s="8">
        <f t="shared" si="4"/>
        <v>0</v>
      </c>
      <c r="D14" s="8">
        <f t="shared" si="4"/>
        <v>0</v>
      </c>
      <c r="E14" s="8">
        <f t="shared" si="4"/>
        <v>3012</v>
      </c>
      <c r="F14" s="8">
        <f t="shared" si="3"/>
        <v>3012</v>
      </c>
    </row>
    <row r="15">
      <c r="A15" s="5" t="s">
        <v>31</v>
      </c>
      <c r="B15" s="6"/>
      <c r="C15" s="6"/>
      <c r="D15" s="6"/>
      <c r="E15" s="7">
        <f>165</f>
        <v>165</v>
      </c>
      <c r="F15" s="7">
        <f t="shared" si="3"/>
        <v>165</v>
      </c>
    </row>
    <row r="16">
      <c r="A16" s="5" t="s">
        <v>32</v>
      </c>
      <c r="B16" s="6"/>
      <c r="C16" s="6"/>
      <c r="D16" s="6"/>
      <c r="E16" s="7">
        <f>50</f>
        <v>50</v>
      </c>
      <c r="F16" s="7">
        <f t="shared" si="3"/>
        <v>50</v>
      </c>
    </row>
    <row r="17">
      <c r="A17" s="5" t="s">
        <v>33</v>
      </c>
      <c r="B17" s="6"/>
      <c r="C17" s="6"/>
      <c r="D17" s="6"/>
      <c r="E17" s="7">
        <f>1381.85</f>
        <v>1381.85</v>
      </c>
      <c r="F17" s="7">
        <f t="shared" si="3"/>
        <v>1381.85</v>
      </c>
    </row>
    <row r="18">
      <c r="A18" s="5" t="s">
        <v>34</v>
      </c>
      <c r="B18" s="6"/>
      <c r="C18" s="6"/>
      <c r="D18" s="6"/>
      <c r="E18" s="7">
        <f>99</f>
        <v>99</v>
      </c>
      <c r="F18" s="7">
        <f t="shared" si="3"/>
        <v>99</v>
      </c>
    </row>
    <row r="19">
      <c r="A19" s="5" t="s">
        <v>35</v>
      </c>
      <c r="B19" s="6"/>
      <c r="C19" s="6"/>
      <c r="D19" s="6"/>
      <c r="E19" s="7">
        <f>200</f>
        <v>200</v>
      </c>
      <c r="F19" s="7">
        <f t="shared" si="3"/>
        <v>200</v>
      </c>
    </row>
    <row r="20">
      <c r="A20" s="5" t="s">
        <v>36</v>
      </c>
      <c r="B20" s="6"/>
      <c r="C20" s="6"/>
      <c r="D20" s="6"/>
      <c r="E20" s="7">
        <f>48</f>
        <v>48</v>
      </c>
      <c r="F20" s="7">
        <f t="shared" si="3"/>
        <v>48</v>
      </c>
    </row>
    <row r="21">
      <c r="A21" s="5" t="s">
        <v>40</v>
      </c>
      <c r="B21" s="6"/>
      <c r="C21" s="6"/>
      <c r="D21" s="6"/>
      <c r="E21" s="7">
        <f>85</f>
        <v>85</v>
      </c>
      <c r="F21" s="7">
        <f t="shared" si="3"/>
        <v>85</v>
      </c>
    </row>
    <row r="22">
      <c r="A22" s="5" t="s">
        <v>41</v>
      </c>
      <c r="B22" s="8">
        <f t="shared" ref="B22:E22" si="5">((((((((B10)+(B14))+(B15))+(B16))+(B17))+(B18))+(B19))+(B20))+(B21)</f>
        <v>0</v>
      </c>
      <c r="C22" s="8">
        <f t="shared" si="5"/>
        <v>0</v>
      </c>
      <c r="D22" s="8">
        <f t="shared" si="5"/>
        <v>0</v>
      </c>
      <c r="E22" s="8">
        <f t="shared" si="5"/>
        <v>5040.85</v>
      </c>
      <c r="F22" s="8">
        <f t="shared" si="3"/>
        <v>5040.85</v>
      </c>
    </row>
    <row r="23">
      <c r="A23" s="5" t="s">
        <v>42</v>
      </c>
      <c r="B23" s="6"/>
      <c r="C23" s="6"/>
      <c r="D23" s="6"/>
      <c r="E23" s="7">
        <f>188.73</f>
        <v>188.73</v>
      </c>
      <c r="F23" s="7">
        <f t="shared" si="3"/>
        <v>188.73</v>
      </c>
    </row>
    <row r="24">
      <c r="A24" s="5" t="s">
        <v>43</v>
      </c>
      <c r="B24" s="6"/>
      <c r="C24" s="6"/>
      <c r="D24" s="6"/>
      <c r="E24" s="6"/>
      <c r="F24" s="7">
        <f t="shared" si="3"/>
        <v>0</v>
      </c>
    </row>
    <row r="25">
      <c r="A25" s="5" t="s">
        <v>44</v>
      </c>
      <c r="B25" s="6"/>
      <c r="C25" s="6"/>
      <c r="D25" s="6"/>
      <c r="E25" s="6"/>
      <c r="F25" s="7">
        <f t="shared" si="3"/>
        <v>0</v>
      </c>
    </row>
    <row r="26">
      <c r="A26" s="5" t="s">
        <v>45</v>
      </c>
      <c r="B26" s="6"/>
      <c r="C26" s="6"/>
      <c r="D26" s="6"/>
      <c r="E26" s="6"/>
      <c r="F26" s="7">
        <f t="shared" si="3"/>
        <v>0</v>
      </c>
    </row>
    <row r="27">
      <c r="A27" s="5" t="s">
        <v>46</v>
      </c>
      <c r="B27" s="6"/>
      <c r="C27" s="6"/>
      <c r="D27" s="7">
        <f>592.85</f>
        <v>592.85</v>
      </c>
      <c r="E27" s="6"/>
      <c r="F27" s="7">
        <f t="shared" si="3"/>
        <v>592.85</v>
      </c>
    </row>
    <row r="28">
      <c r="A28" s="5" t="s">
        <v>47</v>
      </c>
      <c r="B28" s="6"/>
      <c r="C28" s="6"/>
      <c r="D28" s="7">
        <f>629.98</f>
        <v>629.98</v>
      </c>
      <c r="E28" s="6"/>
      <c r="F28" s="7">
        <f t="shared" si="3"/>
        <v>629.98</v>
      </c>
    </row>
    <row r="29">
      <c r="A29" s="5" t="s">
        <v>48</v>
      </c>
      <c r="B29" s="6"/>
      <c r="C29" s="6"/>
      <c r="D29" s="7">
        <f>3379.44</f>
        <v>3379.44</v>
      </c>
      <c r="E29" s="6"/>
      <c r="F29" s="7">
        <f t="shared" si="3"/>
        <v>3379.44</v>
      </c>
    </row>
    <row r="30">
      <c r="A30" s="5" t="s">
        <v>49</v>
      </c>
      <c r="B30" s="6"/>
      <c r="C30" s="6"/>
      <c r="D30" s="7">
        <f>510.07</f>
        <v>510.07</v>
      </c>
      <c r="E30" s="6"/>
      <c r="F30" s="7">
        <f t="shared" si="3"/>
        <v>510.07</v>
      </c>
    </row>
    <row r="31">
      <c r="A31" s="5" t="s">
        <v>50</v>
      </c>
      <c r="B31" s="6"/>
      <c r="C31" s="6"/>
      <c r="D31" s="7">
        <f>332.9</f>
        <v>332.9</v>
      </c>
      <c r="E31" s="6"/>
      <c r="F31" s="7">
        <f t="shared" si="3"/>
        <v>332.9</v>
      </c>
    </row>
    <row r="32">
      <c r="A32" s="5" t="s">
        <v>51</v>
      </c>
      <c r="B32" s="6"/>
      <c r="C32" s="6"/>
      <c r="D32" s="7">
        <f>3612.66</f>
        <v>3612.66</v>
      </c>
      <c r="E32" s="6"/>
      <c r="F32" s="7">
        <f t="shared" si="3"/>
        <v>3612.66</v>
      </c>
    </row>
    <row r="33">
      <c r="A33" s="5" t="s">
        <v>52</v>
      </c>
      <c r="B33" s="6"/>
      <c r="C33" s="6"/>
      <c r="D33" s="7">
        <f>407.15</f>
        <v>407.15</v>
      </c>
      <c r="E33" s="6"/>
      <c r="F33" s="7">
        <f t="shared" si="3"/>
        <v>407.15</v>
      </c>
    </row>
    <row r="34">
      <c r="A34" s="5" t="s">
        <v>53</v>
      </c>
      <c r="B34" s="6"/>
      <c r="C34" s="6"/>
      <c r="D34" s="7">
        <f>2721.09</f>
        <v>2721.09</v>
      </c>
      <c r="E34" s="6"/>
      <c r="F34" s="7">
        <f t="shared" si="3"/>
        <v>2721.09</v>
      </c>
    </row>
    <row r="35">
      <c r="A35" s="5" t="s">
        <v>54</v>
      </c>
      <c r="B35" s="6"/>
      <c r="C35" s="6"/>
      <c r="D35" s="7">
        <f>1252.53</f>
        <v>1252.53</v>
      </c>
      <c r="E35" s="6"/>
      <c r="F35" s="7">
        <f t="shared" si="3"/>
        <v>1252.53</v>
      </c>
    </row>
    <row r="36">
      <c r="A36" s="5" t="s">
        <v>55</v>
      </c>
      <c r="B36" s="6"/>
      <c r="C36" s="6"/>
      <c r="D36" s="7">
        <f>1931.61</f>
        <v>1931.61</v>
      </c>
      <c r="E36" s="6"/>
      <c r="F36" s="7">
        <f t="shared" si="3"/>
        <v>1931.61</v>
      </c>
    </row>
    <row r="37">
      <c r="A37" s="5" t="s">
        <v>56</v>
      </c>
      <c r="B37" s="6"/>
      <c r="C37" s="6"/>
      <c r="D37" s="7">
        <f>2004.69</f>
        <v>2004.69</v>
      </c>
      <c r="E37" s="6"/>
      <c r="F37" s="7">
        <f t="shared" si="3"/>
        <v>2004.69</v>
      </c>
    </row>
    <row r="38">
      <c r="A38" s="5" t="s">
        <v>57</v>
      </c>
      <c r="B38" s="6"/>
      <c r="C38" s="6"/>
      <c r="D38" s="7">
        <f>614.3</f>
        <v>614.3</v>
      </c>
      <c r="E38" s="6"/>
      <c r="F38" s="7">
        <f t="shared" si="3"/>
        <v>614.3</v>
      </c>
    </row>
    <row r="39">
      <c r="A39" s="5" t="s">
        <v>58</v>
      </c>
      <c r="B39" s="6"/>
      <c r="C39" s="6"/>
      <c r="D39" s="7">
        <f>1394.82</f>
        <v>1394.82</v>
      </c>
      <c r="E39" s="6"/>
      <c r="F39" s="7">
        <f t="shared" si="3"/>
        <v>1394.82</v>
      </c>
    </row>
    <row r="40">
      <c r="A40" s="5" t="s">
        <v>59</v>
      </c>
      <c r="B40" s="6"/>
      <c r="C40" s="6"/>
      <c r="D40" s="7">
        <f>15342.23</f>
        <v>15342.23</v>
      </c>
      <c r="E40" s="6"/>
      <c r="F40" s="7">
        <f t="shared" si="3"/>
        <v>15342.23</v>
      </c>
    </row>
    <row r="41">
      <c r="A41" s="5" t="s">
        <v>60</v>
      </c>
      <c r="B41" s="6"/>
      <c r="C41" s="6"/>
      <c r="D41" s="7">
        <f>234.81</f>
        <v>234.81</v>
      </c>
      <c r="E41" s="6"/>
      <c r="F41" s="7">
        <f t="shared" si="3"/>
        <v>234.81</v>
      </c>
    </row>
    <row r="42">
      <c r="A42" s="5" t="s">
        <v>61</v>
      </c>
      <c r="B42" s="8">
        <f t="shared" ref="B42:E42" si="6">(((((((((((((((B26)+(B27))+(B28))+(B29))+(B30))+(B31))+(B32))+(B33))+(B34))+(B35))+(B36))+(B37))+(B38))+(B39))+(B40))+(B41)</f>
        <v>0</v>
      </c>
      <c r="C42" s="8">
        <f t="shared" si="6"/>
        <v>0</v>
      </c>
      <c r="D42" s="8">
        <f t="shared" si="6"/>
        <v>34961.13</v>
      </c>
      <c r="E42" s="8">
        <f t="shared" si="6"/>
        <v>0</v>
      </c>
      <c r="F42" s="8">
        <f t="shared" si="3"/>
        <v>34961.13</v>
      </c>
    </row>
    <row r="43">
      <c r="A43" s="5" t="s">
        <v>62</v>
      </c>
      <c r="B43" s="8">
        <f t="shared" ref="B43:E43" si="7">(B25)+(B42)</f>
        <v>0</v>
      </c>
      <c r="C43" s="8">
        <f t="shared" si="7"/>
        <v>0</v>
      </c>
      <c r="D43" s="8">
        <f t="shared" si="7"/>
        <v>34961.13</v>
      </c>
      <c r="E43" s="8">
        <f t="shared" si="7"/>
        <v>0</v>
      </c>
      <c r="F43" s="8">
        <f t="shared" si="3"/>
        <v>34961.13</v>
      </c>
    </row>
    <row r="44">
      <c r="A44" s="5" t="s">
        <v>63</v>
      </c>
      <c r="B44" s="6"/>
      <c r="C44" s="6"/>
      <c r="D44" s="6"/>
      <c r="E44" s="6"/>
      <c r="F44" s="7">
        <f t="shared" si="3"/>
        <v>0</v>
      </c>
    </row>
    <row r="45">
      <c r="A45" s="5" t="s">
        <v>64</v>
      </c>
      <c r="B45" s="6"/>
      <c r="C45" s="6"/>
      <c r="D45" s="6"/>
      <c r="E45" s="6"/>
      <c r="F45" s="7">
        <f t="shared" si="3"/>
        <v>0</v>
      </c>
    </row>
    <row r="46">
      <c r="A46" s="5" t="s">
        <v>65</v>
      </c>
      <c r="B46" s="7">
        <f>5723.17</f>
        <v>5723.17</v>
      </c>
      <c r="C46" s="7">
        <f>855.19</f>
        <v>855.19</v>
      </c>
      <c r="D46" s="6"/>
      <c r="E46" s="6"/>
      <c r="F46" s="7">
        <f t="shared" si="3"/>
        <v>6578.36</v>
      </c>
    </row>
    <row r="47">
      <c r="A47" s="5" t="s">
        <v>66</v>
      </c>
      <c r="B47" s="6"/>
      <c r="C47" s="6"/>
      <c r="D47" s="6"/>
      <c r="E47" s="6"/>
      <c r="F47" s="7">
        <f t="shared" si="3"/>
        <v>0</v>
      </c>
    </row>
    <row r="48">
      <c r="A48" s="5" t="s">
        <v>67</v>
      </c>
      <c r="B48" s="6"/>
      <c r="C48" s="7">
        <f>497.45</f>
        <v>497.45</v>
      </c>
      <c r="D48" s="6"/>
      <c r="E48" s="6"/>
      <c r="F48" s="7">
        <f t="shared" si="3"/>
        <v>497.45</v>
      </c>
    </row>
    <row r="49">
      <c r="A49" s="5" t="s">
        <v>68</v>
      </c>
      <c r="B49" s="6"/>
      <c r="C49" s="7">
        <f>74.52</f>
        <v>74.52</v>
      </c>
      <c r="D49" s="6"/>
      <c r="E49" s="6"/>
      <c r="F49" s="7">
        <f t="shared" si="3"/>
        <v>74.52</v>
      </c>
    </row>
    <row r="50">
      <c r="A50" s="5" t="s">
        <v>69</v>
      </c>
      <c r="B50" s="8">
        <f t="shared" ref="B50:E50" si="8">((B47)+(B48))+(B49)</f>
        <v>0</v>
      </c>
      <c r="C50" s="8">
        <f t="shared" si="8"/>
        <v>571.97</v>
      </c>
      <c r="D50" s="8">
        <f t="shared" si="8"/>
        <v>0</v>
      </c>
      <c r="E50" s="8">
        <f t="shared" si="8"/>
        <v>0</v>
      </c>
      <c r="F50" s="8">
        <f t="shared" si="3"/>
        <v>571.97</v>
      </c>
    </row>
    <row r="51">
      <c r="A51" s="5" t="s">
        <v>70</v>
      </c>
      <c r="B51" s="6"/>
      <c r="C51" s="7">
        <f>55</f>
        <v>55</v>
      </c>
      <c r="D51" s="6"/>
      <c r="E51" s="6"/>
      <c r="F51" s="7">
        <f t="shared" si="3"/>
        <v>55</v>
      </c>
    </row>
    <row r="52">
      <c r="A52" s="5" t="s">
        <v>71</v>
      </c>
      <c r="B52" s="6"/>
      <c r="C52" s="7">
        <f>4378.09</f>
        <v>4378.09</v>
      </c>
      <c r="D52" s="6"/>
      <c r="E52" s="6"/>
      <c r="F52" s="7">
        <f t="shared" si="3"/>
        <v>4378.09</v>
      </c>
    </row>
    <row r="53">
      <c r="A53" s="5" t="s">
        <v>72</v>
      </c>
      <c r="B53" s="6"/>
      <c r="C53" s="7">
        <f>506.25</f>
        <v>506.25</v>
      </c>
      <c r="D53" s="6"/>
      <c r="E53" s="6"/>
      <c r="F53" s="7">
        <f t="shared" si="3"/>
        <v>506.25</v>
      </c>
    </row>
    <row r="54">
      <c r="A54" s="5" t="s">
        <v>73</v>
      </c>
      <c r="B54" s="8">
        <f t="shared" ref="B54:E54" si="9">(((((B45)+(B46))+(B50))+(B51))+(B52))+(B53)</f>
        <v>5723.17</v>
      </c>
      <c r="C54" s="8">
        <f t="shared" si="9"/>
        <v>6366.5</v>
      </c>
      <c r="D54" s="8">
        <f t="shared" si="9"/>
        <v>0</v>
      </c>
      <c r="E54" s="8">
        <f t="shared" si="9"/>
        <v>0</v>
      </c>
      <c r="F54" s="8">
        <f t="shared" si="3"/>
        <v>12089.67</v>
      </c>
    </row>
    <row r="55">
      <c r="A55" s="5" t="s">
        <v>74</v>
      </c>
      <c r="B55" s="6"/>
      <c r="C55" s="7">
        <f>27.93</f>
        <v>27.93</v>
      </c>
      <c r="D55" s="6"/>
      <c r="E55" s="6"/>
      <c r="F55" s="7">
        <f t="shared" si="3"/>
        <v>27.93</v>
      </c>
    </row>
    <row r="56">
      <c r="A56" s="5" t="s">
        <v>75</v>
      </c>
      <c r="B56" s="8">
        <f t="shared" ref="B56:E56" si="10">((B44)+(B54))+(B55)</f>
        <v>5723.17</v>
      </c>
      <c r="C56" s="8">
        <f t="shared" si="10"/>
        <v>6394.43</v>
      </c>
      <c r="D56" s="8">
        <f t="shared" si="10"/>
        <v>0</v>
      </c>
      <c r="E56" s="8">
        <f t="shared" si="10"/>
        <v>0</v>
      </c>
      <c r="F56" s="8">
        <f t="shared" si="3"/>
        <v>12117.6</v>
      </c>
    </row>
    <row r="57">
      <c r="A57" s="5" t="s">
        <v>76</v>
      </c>
      <c r="B57" s="8">
        <f t="shared" ref="B57:E57" si="11">((B24)+(B43))+(B56)</f>
        <v>5723.17</v>
      </c>
      <c r="C57" s="8">
        <f t="shared" si="11"/>
        <v>6394.43</v>
      </c>
      <c r="D57" s="8">
        <f t="shared" si="11"/>
        <v>34961.13</v>
      </c>
      <c r="E57" s="8">
        <f t="shared" si="11"/>
        <v>0</v>
      </c>
      <c r="F57" s="8">
        <f t="shared" si="3"/>
        <v>47078.73</v>
      </c>
    </row>
    <row r="58">
      <c r="A58" s="5" t="s">
        <v>77</v>
      </c>
      <c r="B58" s="8">
        <f t="shared" ref="B58:E58" si="12">((B22)+(B23))+(B57)</f>
        <v>5723.17</v>
      </c>
      <c r="C58" s="8">
        <f t="shared" si="12"/>
        <v>6394.43</v>
      </c>
      <c r="D58" s="8">
        <f t="shared" si="12"/>
        <v>34961.13</v>
      </c>
      <c r="E58" s="8">
        <f t="shared" si="12"/>
        <v>5229.58</v>
      </c>
      <c r="F58" s="8">
        <f t="shared" si="3"/>
        <v>52308.31</v>
      </c>
    </row>
    <row r="59">
      <c r="A59" s="5" t="s">
        <v>78</v>
      </c>
      <c r="B59" s="8">
        <f t="shared" ref="B59:E59" si="13">(B8)-(B58)</f>
        <v>-5723.17</v>
      </c>
      <c r="C59" s="8">
        <f t="shared" si="13"/>
        <v>-6394.43</v>
      </c>
      <c r="D59" s="8">
        <f t="shared" si="13"/>
        <v>-34961.13</v>
      </c>
      <c r="E59" s="8">
        <f t="shared" si="13"/>
        <v>-5229.58</v>
      </c>
      <c r="F59" s="8">
        <f t="shared" si="3"/>
        <v>-52308.31</v>
      </c>
    </row>
    <row r="60">
      <c r="A60" s="5" t="s">
        <v>79</v>
      </c>
      <c r="B60" s="8">
        <f t="shared" ref="B60:E60" si="14">(B59)+(0)</f>
        <v>-5723.17</v>
      </c>
      <c r="C60" s="8">
        <f t="shared" si="14"/>
        <v>-6394.43</v>
      </c>
      <c r="D60" s="8">
        <f t="shared" si="14"/>
        <v>-34961.13</v>
      </c>
      <c r="E60" s="8">
        <f t="shared" si="14"/>
        <v>-5229.58</v>
      </c>
      <c r="F60" s="8">
        <f t="shared" si="3"/>
        <v>-52308.31</v>
      </c>
    </row>
    <row r="61">
      <c r="A61" s="5"/>
      <c r="B61" s="6"/>
      <c r="C61" s="6"/>
      <c r="D61" s="6"/>
      <c r="E61" s="6"/>
      <c r="F61" s="6"/>
    </row>
    <row r="62"/>
    <row r="63"/>
    <row r="64">
      <c r="A64" s="9" t="s">
        <v>171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4:F64"/>
  </mergeCells>
  <printOptions/>
  <pageMargins bottom="0.75" footer="0.0" header="0.0" left="0.7" right="0.7" top="0.75"/>
  <pageSetup orientation="landscape"/>
  <drawing r:id="rId1"/>
</worksheet>
</file>